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codeName="ThisWorkbook"/>
  <mc:AlternateContent xmlns:mc="http://schemas.openxmlformats.org/markup-compatibility/2006">
    <mc:Choice Requires="x15">
      <x15ac:absPath xmlns:x15ac="http://schemas.microsoft.com/office/spreadsheetml/2010/11/ac" url="/Users/teemukarjaluoto/Downloads/"/>
    </mc:Choice>
  </mc:AlternateContent>
  <xr:revisionPtr revIDLastSave="0" documentId="13_ncr:1_{9C6C2D0D-D2F7-234B-90FF-043421DCB63A}" xr6:coauthVersionLast="47" xr6:coauthVersionMax="47" xr10:uidLastSave="{00000000-0000-0000-0000-000000000000}"/>
  <workbookProtection workbookAlgorithmName="SHA-512" workbookHashValue="hwYX+Uz6CuQz70Wm30WWeRK5D9Dbr1g9h6Ah+lzGOky2sw9qIbO/kUghj76I9iSN25CztIUukp6DYA2YHs/l0g==" workbookSaltValue="hXgvx2U7ci3NeZUAXEvonA==" workbookSpinCount="100000" lockStructure="1"/>
  <bookViews>
    <workbookView xWindow="30240" yWindow="500" windowWidth="38400" windowHeight="21100" tabRatio="673" xr2:uid="{00000000-000D-0000-FFFF-FFFF00000000}"/>
  </bookViews>
  <sheets>
    <sheet name="Vuokratuottolaskuri" sheetId="23" r:id="rId1"/>
    <sheet name="Edistynyt vuokratuottolaskuri" sheetId="20" r:id="rId2"/>
    <sheet name="Käyttöohjeet" sheetId="26" r:id="rId3"/>
    <sheet name="Data kuukausina" sheetId="21" state="hidden" r:id="rId4"/>
    <sheet name="Data vuosina" sheetId="27" state="hidden" r:id="rId5"/>
  </sheets>
  <definedNames>
    <definedName name="kirjanpitotapa">'Data kuukausina'!$AA$3:$AA$4</definedName>
    <definedName name="Lyhennystapa">'Edistynyt vuokratuottolaskuri'!$C$32</definedName>
    <definedName name="Valitse">'Edistynyt vuokratuottolaskuri'!$C$21:$C$21</definedName>
    <definedName name="Veroaste">'Edistynyt vuokratuottolaskuri'!$C$41</definedName>
    <definedName name="YhlainaLyhennys">'Edistynyt vuokratuottolaskuri'!$C$20</definedName>
    <definedName name="YksinkPlainanLyh">Vuokratuottolaskuri!$C$23</definedName>
    <definedName name="YksinkYhlainanKäsittely">Vuokratuottolaskuri!$C$14</definedName>
    <definedName name="YksinkYhlainanLyh">Vuokratuottolaskuri!$C$14</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 i="23" l="1"/>
  <c r="J5" i="27"/>
  <c r="V70" i="21"/>
  <c r="V71" i="21"/>
  <c r="V72" i="21"/>
  <c r="V73" i="21"/>
  <c r="V74" i="21"/>
  <c r="V75" i="21"/>
  <c r="V76" i="21"/>
  <c r="V77" i="21"/>
  <c r="V78" i="21"/>
  <c r="V79" i="21"/>
  <c r="V80" i="21"/>
  <c r="V82" i="21"/>
  <c r="V83" i="21"/>
  <c r="V84" i="21"/>
  <c r="V85" i="21"/>
  <c r="V86" i="21"/>
  <c r="V87" i="21"/>
  <c r="V88" i="21"/>
  <c r="V89" i="21"/>
  <c r="V90" i="21"/>
  <c r="V91" i="21"/>
  <c r="V92" i="21"/>
  <c r="V94" i="21"/>
  <c r="V95" i="21"/>
  <c r="V96" i="21"/>
  <c r="V97" i="21"/>
  <c r="V98" i="21"/>
  <c r="V99" i="21"/>
  <c r="V100" i="21"/>
  <c r="V101" i="21"/>
  <c r="V102" i="21"/>
  <c r="V103" i="21"/>
  <c r="V104" i="21"/>
  <c r="V106" i="21"/>
  <c r="V107" i="21"/>
  <c r="V108" i="21"/>
  <c r="V109" i="21"/>
  <c r="V110" i="21"/>
  <c r="V111" i="21"/>
  <c r="V112" i="21"/>
  <c r="V113" i="21"/>
  <c r="V114" i="21"/>
  <c r="V115" i="21"/>
  <c r="V116" i="21"/>
  <c r="V118" i="21"/>
  <c r="V119" i="21"/>
  <c r="V120" i="21"/>
  <c r="V121" i="21"/>
  <c r="V122" i="21"/>
  <c r="V123" i="21"/>
  <c r="V124" i="21"/>
  <c r="V125" i="21"/>
  <c r="V126" i="21"/>
  <c r="V127" i="21"/>
  <c r="V128" i="21"/>
  <c r="V130" i="21"/>
  <c r="V131" i="21"/>
  <c r="V132" i="21"/>
  <c r="V133" i="21"/>
  <c r="V134" i="21"/>
  <c r="V135" i="21"/>
  <c r="V136" i="21"/>
  <c r="V137" i="21"/>
  <c r="V138" i="21"/>
  <c r="V139" i="21"/>
  <c r="V140" i="21"/>
  <c r="V142" i="21"/>
  <c r="V143" i="21"/>
  <c r="V144" i="21"/>
  <c r="V145" i="21"/>
  <c r="V146" i="21"/>
  <c r="V147" i="21"/>
  <c r="V148" i="21"/>
  <c r="V149" i="21"/>
  <c r="V150" i="21"/>
  <c r="V151" i="21"/>
  <c r="V152" i="21"/>
  <c r="V154" i="21"/>
  <c r="V155" i="21"/>
  <c r="V156" i="21"/>
  <c r="V157" i="21"/>
  <c r="V158" i="21"/>
  <c r="V159" i="21"/>
  <c r="V160" i="21"/>
  <c r="V161" i="21"/>
  <c r="V162" i="21"/>
  <c r="V163" i="21"/>
  <c r="V164" i="21"/>
  <c r="V166" i="21"/>
  <c r="H5" i="27" l="1"/>
  <c r="L27" i="20" l="1"/>
  <c r="L28" i="20"/>
  <c r="F13" i="20"/>
  <c r="C29" i="20" l="1"/>
  <c r="F15" i="23"/>
  <c r="F13" i="23"/>
  <c r="L7" i="20" l="1"/>
  <c r="F16" i="23"/>
  <c r="F7" i="23"/>
  <c r="F7" i="20"/>
  <c r="I17" i="21"/>
  <c r="I18" i="21"/>
  <c r="I19" i="21"/>
  <c r="I20" i="21"/>
  <c r="I21" i="21"/>
  <c r="I22" i="21"/>
  <c r="I23" i="21"/>
  <c r="I24" i="21"/>
  <c r="I25" i="21"/>
  <c r="I26" i="21"/>
  <c r="I27" i="21"/>
  <c r="I28" i="21"/>
  <c r="I29" i="21"/>
  <c r="I30" i="21"/>
  <c r="I31" i="21"/>
  <c r="I32" i="21"/>
  <c r="I33" i="21"/>
  <c r="I34" i="21"/>
  <c r="I35" i="21"/>
  <c r="I36" i="21"/>
  <c r="I37" i="21"/>
  <c r="I38" i="21"/>
  <c r="I39" i="21"/>
  <c r="I40" i="21"/>
  <c r="I41" i="21"/>
  <c r="I42" i="21"/>
  <c r="I43" i="21"/>
  <c r="I44" i="21"/>
  <c r="I45" i="21"/>
  <c r="I46" i="21"/>
  <c r="I47" i="21"/>
  <c r="I48" i="21"/>
  <c r="I49" i="21"/>
  <c r="I50" i="21"/>
  <c r="I51" i="21"/>
  <c r="I52" i="21"/>
  <c r="I53" i="21"/>
  <c r="I54" i="21"/>
  <c r="I55" i="21"/>
  <c r="I56" i="21"/>
  <c r="I57" i="21"/>
  <c r="I58" i="21"/>
  <c r="I59" i="21"/>
  <c r="I60" i="21"/>
  <c r="I61" i="21"/>
  <c r="I62" i="21"/>
  <c r="I63" i="21"/>
  <c r="I64" i="21"/>
  <c r="I65" i="21"/>
  <c r="I66" i="21"/>
  <c r="I67" i="21"/>
  <c r="I68" i="21"/>
  <c r="I69" i="21"/>
  <c r="I70" i="21"/>
  <c r="I71" i="21"/>
  <c r="I72" i="21"/>
  <c r="I73" i="21"/>
  <c r="I74" i="21"/>
  <c r="I75" i="21"/>
  <c r="I76" i="21"/>
  <c r="I77" i="21"/>
  <c r="I78" i="21"/>
  <c r="I79" i="21"/>
  <c r="I80" i="21"/>
  <c r="I81" i="21"/>
  <c r="I82" i="21"/>
  <c r="I83" i="21"/>
  <c r="I84" i="21"/>
  <c r="I85" i="21"/>
  <c r="I86" i="21"/>
  <c r="I87" i="21"/>
  <c r="I88" i="21"/>
  <c r="I89" i="21"/>
  <c r="I90" i="21"/>
  <c r="I91" i="21"/>
  <c r="I92" i="21"/>
  <c r="I93" i="21"/>
  <c r="I94" i="21"/>
  <c r="I95" i="21"/>
  <c r="I96" i="21"/>
  <c r="I97" i="21"/>
  <c r="I98" i="21"/>
  <c r="I99" i="21"/>
  <c r="I100" i="21"/>
  <c r="I101" i="21"/>
  <c r="I102" i="21"/>
  <c r="I103" i="21"/>
  <c r="I104" i="21"/>
  <c r="I105" i="21"/>
  <c r="I106" i="21"/>
  <c r="I107" i="21"/>
  <c r="I108" i="21"/>
  <c r="I109" i="21"/>
  <c r="I110" i="21"/>
  <c r="I111" i="21"/>
  <c r="I112" i="21"/>
  <c r="I113" i="21"/>
  <c r="I114" i="21"/>
  <c r="I115" i="21"/>
  <c r="I116" i="21"/>
  <c r="I117" i="21"/>
  <c r="I118" i="21"/>
  <c r="I119" i="21"/>
  <c r="I120" i="21"/>
  <c r="I121" i="21"/>
  <c r="I122" i="21"/>
  <c r="I123" i="21"/>
  <c r="I124" i="21"/>
  <c r="I125" i="21"/>
  <c r="I126" i="21"/>
  <c r="I127" i="21"/>
  <c r="I128" i="21"/>
  <c r="I129" i="21"/>
  <c r="I130" i="21"/>
  <c r="I131" i="21"/>
  <c r="I132" i="21"/>
  <c r="I133" i="21"/>
  <c r="I134" i="21"/>
  <c r="I135" i="21"/>
  <c r="I136" i="21"/>
  <c r="I137" i="21"/>
  <c r="I138" i="21"/>
  <c r="I139" i="21"/>
  <c r="I140" i="21"/>
  <c r="I141" i="21"/>
  <c r="I142" i="21"/>
  <c r="I143" i="21"/>
  <c r="I144" i="21"/>
  <c r="I145" i="21"/>
  <c r="I146" i="21"/>
  <c r="I147" i="21"/>
  <c r="I148" i="21"/>
  <c r="I149" i="21"/>
  <c r="I150" i="21"/>
  <c r="I151" i="21"/>
  <c r="I152" i="21"/>
  <c r="I153" i="21"/>
  <c r="I154" i="21"/>
  <c r="I155" i="21"/>
  <c r="I156" i="21"/>
  <c r="I157" i="21"/>
  <c r="I158" i="21"/>
  <c r="I159" i="21"/>
  <c r="I160" i="21"/>
  <c r="I161" i="21"/>
  <c r="I162" i="21"/>
  <c r="I163" i="21"/>
  <c r="I164" i="21"/>
  <c r="I165" i="21"/>
  <c r="I166" i="21"/>
  <c r="I167" i="21"/>
  <c r="I168" i="21"/>
  <c r="I169" i="21"/>
  <c r="I170" i="21"/>
  <c r="I171" i="21"/>
  <c r="I172" i="21"/>
  <c r="I173" i="21"/>
  <c r="I174" i="21"/>
  <c r="I175" i="21"/>
  <c r="I176" i="21"/>
  <c r="I177" i="21"/>
  <c r="I178" i="21"/>
  <c r="I179" i="21"/>
  <c r="I180" i="21"/>
  <c r="I181" i="21"/>
  <c r="I182" i="21"/>
  <c r="I183" i="21"/>
  <c r="I184" i="21"/>
  <c r="I185" i="21"/>
  <c r="I186" i="21"/>
  <c r="I187" i="21"/>
  <c r="I188" i="21"/>
  <c r="I189" i="21"/>
  <c r="I190" i="21"/>
  <c r="I191" i="21"/>
  <c r="I192" i="21"/>
  <c r="I193" i="21"/>
  <c r="I194" i="21"/>
  <c r="I195" i="21"/>
  <c r="I196" i="21"/>
  <c r="I197" i="21"/>
  <c r="I198" i="21"/>
  <c r="I199" i="21"/>
  <c r="I200" i="21"/>
  <c r="I201" i="21"/>
  <c r="I202" i="21"/>
  <c r="I203" i="21"/>
  <c r="I204" i="21"/>
  <c r="I205" i="21"/>
  <c r="I206" i="21"/>
  <c r="I207" i="21"/>
  <c r="I208" i="21"/>
  <c r="I209" i="21"/>
  <c r="I210" i="21"/>
  <c r="I211" i="21"/>
  <c r="I212" i="21"/>
  <c r="I213" i="21"/>
  <c r="I214" i="21"/>
  <c r="I215" i="21"/>
  <c r="I216" i="21"/>
  <c r="I217" i="21"/>
  <c r="I218" i="21"/>
  <c r="I219" i="21"/>
  <c r="I220" i="21"/>
  <c r="I221" i="21"/>
  <c r="I222" i="21"/>
  <c r="I223" i="21"/>
  <c r="I224" i="21"/>
  <c r="I225" i="21"/>
  <c r="I226" i="21"/>
  <c r="I227" i="21"/>
  <c r="I228" i="21"/>
  <c r="I229" i="21"/>
  <c r="I230" i="21"/>
  <c r="I231" i="21"/>
  <c r="I232" i="21"/>
  <c r="I233" i="21"/>
  <c r="I234" i="21"/>
  <c r="I235" i="21"/>
  <c r="I236" i="21"/>
  <c r="I237" i="21"/>
  <c r="I238" i="21"/>
  <c r="I239" i="21"/>
  <c r="I240" i="21"/>
  <c r="I241" i="21"/>
  <c r="I242" i="21"/>
  <c r="I243" i="21"/>
  <c r="I244" i="21"/>
  <c r="I245" i="21"/>
  <c r="I246" i="21"/>
  <c r="I247" i="21"/>
  <c r="I248" i="21"/>
  <c r="I249" i="21"/>
  <c r="I250" i="21"/>
  <c r="I251" i="21"/>
  <c r="I252" i="21"/>
  <c r="I253" i="21"/>
  <c r="I254" i="21"/>
  <c r="I255" i="21"/>
  <c r="I256" i="21"/>
  <c r="I257" i="21"/>
  <c r="I258" i="21"/>
  <c r="I259" i="21"/>
  <c r="I260" i="21"/>
  <c r="I261" i="21"/>
  <c r="I262" i="21"/>
  <c r="I263" i="21"/>
  <c r="I264" i="21"/>
  <c r="I265" i="21"/>
  <c r="I266" i="21"/>
  <c r="I267" i="21"/>
  <c r="I268" i="21"/>
  <c r="I269" i="21"/>
  <c r="I270" i="21"/>
  <c r="I271" i="21"/>
  <c r="I272" i="21"/>
  <c r="I273" i="21"/>
  <c r="I274" i="21"/>
  <c r="I275" i="21"/>
  <c r="I276" i="21"/>
  <c r="I277" i="21"/>
  <c r="I278" i="21"/>
  <c r="I279" i="21"/>
  <c r="I280" i="21"/>
  <c r="I281" i="21"/>
  <c r="I282" i="21"/>
  <c r="I283" i="21"/>
  <c r="I284" i="21"/>
  <c r="I285" i="21"/>
  <c r="I286" i="21"/>
  <c r="I287" i="21"/>
  <c r="I288" i="21"/>
  <c r="I289" i="21"/>
  <c r="I290" i="21"/>
  <c r="I291" i="21"/>
  <c r="I292" i="21"/>
  <c r="I293" i="21"/>
  <c r="I294" i="21"/>
  <c r="I295" i="21"/>
  <c r="I296" i="21"/>
  <c r="I297" i="21"/>
  <c r="I298" i="21"/>
  <c r="I299" i="21"/>
  <c r="I300" i="21"/>
  <c r="I301" i="21"/>
  <c r="I302" i="21"/>
  <c r="I303" i="21"/>
  <c r="I304" i="21"/>
  <c r="I305" i="21"/>
  <c r="I306" i="21"/>
  <c r="I307" i="21"/>
  <c r="I308" i="21"/>
  <c r="I309" i="21"/>
  <c r="I310" i="21"/>
  <c r="I311" i="21"/>
  <c r="I312" i="21"/>
  <c r="I313" i="21"/>
  <c r="I314" i="21"/>
  <c r="I315" i="21"/>
  <c r="I316" i="21"/>
  <c r="I317" i="21"/>
  <c r="I318" i="21"/>
  <c r="I319" i="21"/>
  <c r="I320" i="21"/>
  <c r="I321" i="21"/>
  <c r="I322" i="21"/>
  <c r="I323" i="21"/>
  <c r="I324" i="21"/>
  <c r="I325" i="21"/>
  <c r="I326" i="21"/>
  <c r="I327" i="21"/>
  <c r="I328" i="21"/>
  <c r="I329" i="21"/>
  <c r="I330" i="21"/>
  <c r="I331" i="21"/>
  <c r="I332" i="21"/>
  <c r="I333" i="21"/>
  <c r="I334" i="21"/>
  <c r="I335" i="21"/>
  <c r="I336" i="21"/>
  <c r="I337" i="21"/>
  <c r="I338" i="21"/>
  <c r="I339" i="21"/>
  <c r="I340" i="21"/>
  <c r="I341" i="21"/>
  <c r="I342" i="21"/>
  <c r="I343" i="21"/>
  <c r="I344" i="21"/>
  <c r="I345" i="21"/>
  <c r="I346" i="21"/>
  <c r="I347" i="21"/>
  <c r="I348" i="21"/>
  <c r="I349" i="21"/>
  <c r="I350" i="21"/>
  <c r="I351" i="21"/>
  <c r="I352" i="21"/>
  <c r="I353" i="21"/>
  <c r="I354" i="21"/>
  <c r="I355" i="21"/>
  <c r="I356" i="21"/>
  <c r="I357" i="21"/>
  <c r="I358" i="21"/>
  <c r="I359" i="21"/>
  <c r="I360" i="21"/>
  <c r="I361" i="21"/>
  <c r="I362" i="21"/>
  <c r="I363" i="21"/>
  <c r="I11" i="21"/>
  <c r="I12" i="21"/>
  <c r="I13" i="21"/>
  <c r="I14" i="21"/>
  <c r="I15" i="21"/>
  <c r="I16" i="21"/>
  <c r="I10" i="21"/>
  <c r="C27" i="23" l="1"/>
  <c r="C30" i="23" s="1"/>
  <c r="H9" i="21"/>
  <c r="C23" i="20"/>
  <c r="C22" i="20"/>
  <c r="C24" i="20" s="1"/>
  <c r="I9" i="21" l="1"/>
  <c r="J9" i="21" s="1"/>
  <c r="K9" i="21" s="1"/>
  <c r="C29" i="23"/>
  <c r="C28" i="23" s="1"/>
  <c r="H10" i="21" l="1"/>
  <c r="F18" i="23"/>
  <c r="F14" i="23"/>
  <c r="F17" i="23" s="1"/>
  <c r="F8" i="23"/>
  <c r="F9" i="23"/>
  <c r="J10" i="21"/>
  <c r="B25" i="27"/>
  <c r="B24" i="27"/>
  <c r="B23" i="27"/>
  <c r="B22" i="27"/>
  <c r="B21" i="27"/>
  <c r="B20" i="27"/>
  <c r="B19" i="27"/>
  <c r="B18" i="27"/>
  <c r="B17" i="27"/>
  <c r="B16" i="27"/>
  <c r="B15" i="27"/>
  <c r="B14" i="27"/>
  <c r="B13" i="27"/>
  <c r="B12" i="27"/>
  <c r="B11" i="27"/>
  <c r="B10" i="27"/>
  <c r="B9" i="27"/>
  <c r="B8" i="27"/>
  <c r="B7" i="27"/>
  <c r="B6" i="27"/>
  <c r="K10" i="21" l="1"/>
  <c r="F20" i="23"/>
  <c r="F21" i="23" s="1"/>
  <c r="H11" i="21"/>
  <c r="E53" i="21"/>
  <c r="E57" i="21"/>
  <c r="E61" i="21"/>
  <c r="E65" i="21"/>
  <c r="E69" i="21"/>
  <c r="E73" i="21"/>
  <c r="E77" i="21"/>
  <c r="E81" i="21"/>
  <c r="E85" i="21"/>
  <c r="E89" i="21"/>
  <c r="E93" i="21"/>
  <c r="E97" i="21"/>
  <c r="E101" i="21"/>
  <c r="E105" i="21"/>
  <c r="E109" i="21"/>
  <c r="E113" i="21"/>
  <c r="E117" i="21"/>
  <c r="E121" i="21"/>
  <c r="E125" i="21"/>
  <c r="E129" i="21"/>
  <c r="E133" i="21"/>
  <c r="E137" i="21"/>
  <c r="E141" i="21"/>
  <c r="E145" i="21"/>
  <c r="E149" i="21"/>
  <c r="E153" i="21"/>
  <c r="E157" i="21"/>
  <c r="E161" i="21"/>
  <c r="E165" i="21"/>
  <c r="E169" i="21"/>
  <c r="E173" i="21"/>
  <c r="E177" i="21"/>
  <c r="E181" i="21"/>
  <c r="E185" i="21"/>
  <c r="E189" i="21"/>
  <c r="E193" i="21"/>
  <c r="E197" i="21"/>
  <c r="E201" i="21"/>
  <c r="E205" i="21"/>
  <c r="E209" i="21"/>
  <c r="E213" i="21"/>
  <c r="E217" i="21"/>
  <c r="E221" i="21"/>
  <c r="E225" i="21"/>
  <c r="E229" i="21"/>
  <c r="E233" i="21"/>
  <c r="E237" i="21"/>
  <c r="E241" i="21"/>
  <c r="E245" i="21"/>
  <c r="E249" i="21"/>
  <c r="E253" i="21"/>
  <c r="E257" i="21"/>
  <c r="E261" i="21"/>
  <c r="E265" i="21"/>
  <c r="E269" i="21"/>
  <c r="E273" i="21"/>
  <c r="E277" i="21"/>
  <c r="E281" i="21"/>
  <c r="E285" i="21"/>
  <c r="E289" i="21"/>
  <c r="E293" i="21"/>
  <c r="E297" i="21"/>
  <c r="E301" i="21"/>
  <c r="E305" i="21"/>
  <c r="E309" i="21"/>
  <c r="E313" i="21"/>
  <c r="E317" i="21"/>
  <c r="E321" i="21"/>
  <c r="E325" i="21"/>
  <c r="E329" i="21"/>
  <c r="E333" i="21"/>
  <c r="E337" i="21"/>
  <c r="E341" i="21"/>
  <c r="E345" i="21"/>
  <c r="E349" i="21"/>
  <c r="E353" i="21"/>
  <c r="E357" i="21"/>
  <c r="E361" i="21"/>
  <c r="E38" i="21"/>
  <c r="E42" i="21"/>
  <c r="E46" i="21"/>
  <c r="E50" i="21"/>
  <c r="E27" i="21"/>
  <c r="E31" i="21"/>
  <c r="E35" i="21"/>
  <c r="E54" i="21"/>
  <c r="E58" i="21"/>
  <c r="E62" i="21"/>
  <c r="E66" i="21"/>
  <c r="E70" i="21"/>
  <c r="E74" i="21"/>
  <c r="E78" i="21"/>
  <c r="E82" i="21"/>
  <c r="E86" i="21"/>
  <c r="E90" i="21"/>
  <c r="E94" i="21"/>
  <c r="E98" i="21"/>
  <c r="E102" i="21"/>
  <c r="E106" i="21"/>
  <c r="E110" i="21"/>
  <c r="E114" i="21"/>
  <c r="E118" i="21"/>
  <c r="E122" i="21"/>
  <c r="E126" i="21"/>
  <c r="E130" i="21"/>
  <c r="E134" i="21"/>
  <c r="E138" i="21"/>
  <c r="E142" i="21"/>
  <c r="E146" i="21"/>
  <c r="E150" i="21"/>
  <c r="E154" i="21"/>
  <c r="E158" i="21"/>
  <c r="E162" i="21"/>
  <c r="E166" i="21"/>
  <c r="E170" i="21"/>
  <c r="E174" i="21"/>
  <c r="E178" i="21"/>
  <c r="E182" i="21"/>
  <c r="E186" i="21"/>
  <c r="E190" i="21"/>
  <c r="E194" i="21"/>
  <c r="E198" i="21"/>
  <c r="E202" i="21"/>
  <c r="E206" i="21"/>
  <c r="E210" i="21"/>
  <c r="E214" i="21"/>
  <c r="E218" i="21"/>
  <c r="E222" i="21"/>
  <c r="E226" i="21"/>
  <c r="E230" i="21"/>
  <c r="E234" i="21"/>
  <c r="E238" i="21"/>
  <c r="E242" i="21"/>
  <c r="E246" i="21"/>
  <c r="E250" i="21"/>
  <c r="E254" i="21"/>
  <c r="E258" i="21"/>
  <c r="E262" i="21"/>
  <c r="E266" i="21"/>
  <c r="E270" i="21"/>
  <c r="E274" i="21"/>
  <c r="E278" i="21"/>
  <c r="E282" i="21"/>
  <c r="E286" i="21"/>
  <c r="E290" i="21"/>
  <c r="E294" i="21"/>
  <c r="E298" i="21"/>
  <c r="E302" i="21"/>
  <c r="E306" i="21"/>
  <c r="E310" i="21"/>
  <c r="E314" i="21"/>
  <c r="E318" i="21"/>
  <c r="E322" i="21"/>
  <c r="E326" i="21"/>
  <c r="E330" i="21"/>
  <c r="E334" i="21"/>
  <c r="E338" i="21"/>
  <c r="E342" i="21"/>
  <c r="E346" i="21"/>
  <c r="E350" i="21"/>
  <c r="E354" i="21"/>
  <c r="E358" i="21"/>
  <c r="E362" i="21"/>
  <c r="E39" i="21"/>
  <c r="E43" i="21"/>
  <c r="E47" i="21"/>
  <c r="E51" i="21"/>
  <c r="E28" i="21"/>
  <c r="E32" i="21"/>
  <c r="E36" i="21"/>
  <c r="E55" i="21"/>
  <c r="E59" i="21"/>
  <c r="E63" i="21"/>
  <c r="E67" i="21"/>
  <c r="E71" i="21"/>
  <c r="E75" i="21"/>
  <c r="E79" i="21"/>
  <c r="E83" i="21"/>
  <c r="E87" i="21"/>
  <c r="E91" i="21"/>
  <c r="E95" i="21"/>
  <c r="E99" i="21"/>
  <c r="E103" i="21"/>
  <c r="E107" i="21"/>
  <c r="E111" i="21"/>
  <c r="E115" i="21"/>
  <c r="E119" i="21"/>
  <c r="E123" i="21"/>
  <c r="E127" i="21"/>
  <c r="E131" i="21"/>
  <c r="E135" i="21"/>
  <c r="E139" i="21"/>
  <c r="E143" i="21"/>
  <c r="E147" i="21"/>
  <c r="E151" i="21"/>
  <c r="E155" i="21"/>
  <c r="E159" i="21"/>
  <c r="E163" i="21"/>
  <c r="E167" i="21"/>
  <c r="E171" i="21"/>
  <c r="E175" i="21"/>
  <c r="E179" i="21"/>
  <c r="E183" i="21"/>
  <c r="E187" i="21"/>
  <c r="E191" i="21"/>
  <c r="E195" i="21"/>
  <c r="E199" i="21"/>
  <c r="E203" i="21"/>
  <c r="E207" i="21"/>
  <c r="E211" i="21"/>
  <c r="E215" i="21"/>
  <c r="E219" i="21"/>
  <c r="E223" i="21"/>
  <c r="E227" i="21"/>
  <c r="E231" i="21"/>
  <c r="E235" i="21"/>
  <c r="E239" i="21"/>
  <c r="E243" i="21"/>
  <c r="E247" i="21"/>
  <c r="E251" i="21"/>
  <c r="E255" i="21"/>
  <c r="E259" i="21"/>
  <c r="E263" i="21"/>
  <c r="E267" i="21"/>
  <c r="E271" i="21"/>
  <c r="E275" i="21"/>
  <c r="E279" i="21"/>
  <c r="E283" i="21"/>
  <c r="E287" i="21"/>
  <c r="E291" i="21"/>
  <c r="E295" i="21"/>
  <c r="E299" i="21"/>
  <c r="E303" i="21"/>
  <c r="E307" i="21"/>
  <c r="E311" i="21"/>
  <c r="E315" i="21"/>
  <c r="E319" i="21"/>
  <c r="E323" i="21"/>
  <c r="E327" i="21"/>
  <c r="E331" i="21"/>
  <c r="E335" i="21"/>
  <c r="E339" i="21"/>
  <c r="E343" i="21"/>
  <c r="E347" i="21"/>
  <c r="E351" i="21"/>
  <c r="E355" i="21"/>
  <c r="E359" i="21"/>
  <c r="E363" i="21"/>
  <c r="E40" i="21"/>
  <c r="E44" i="21"/>
  <c r="E48" i="21"/>
  <c r="E25" i="21"/>
  <c r="E29" i="21"/>
  <c r="E33" i="21"/>
  <c r="E37" i="21"/>
  <c r="E56" i="21"/>
  <c r="E72" i="21"/>
  <c r="E88" i="21"/>
  <c r="E104" i="21"/>
  <c r="E120" i="21"/>
  <c r="E136" i="21"/>
  <c r="E152" i="21"/>
  <c r="E168" i="21"/>
  <c r="E184" i="21"/>
  <c r="E200" i="21"/>
  <c r="E216" i="21"/>
  <c r="E232" i="21"/>
  <c r="E248" i="21"/>
  <c r="E264" i="21"/>
  <c r="E280" i="21"/>
  <c r="E296" i="21"/>
  <c r="E312" i="21"/>
  <c r="E328" i="21"/>
  <c r="E344" i="21"/>
  <c r="E360" i="21"/>
  <c r="E49" i="21"/>
  <c r="E21" i="21"/>
  <c r="E11" i="21"/>
  <c r="E15" i="21"/>
  <c r="E19" i="21"/>
  <c r="D9" i="21"/>
  <c r="E9" i="21" s="1"/>
  <c r="F9" i="21" s="1"/>
  <c r="E68" i="21"/>
  <c r="E100" i="21"/>
  <c r="E132" i="21"/>
  <c r="E180" i="21"/>
  <c r="E212" i="21"/>
  <c r="E244" i="21"/>
  <c r="E276" i="21"/>
  <c r="E308" i="21"/>
  <c r="E340" i="21"/>
  <c r="E45" i="21"/>
  <c r="E24" i="21"/>
  <c r="E18" i="21"/>
  <c r="E60" i="21"/>
  <c r="E76" i="21"/>
  <c r="E92" i="21"/>
  <c r="E108" i="21"/>
  <c r="E124" i="21"/>
  <c r="E140" i="21"/>
  <c r="E156" i="21"/>
  <c r="E172" i="21"/>
  <c r="E188" i="21"/>
  <c r="E204" i="21"/>
  <c r="E220" i="21"/>
  <c r="E236" i="21"/>
  <c r="E252" i="21"/>
  <c r="E268" i="21"/>
  <c r="E284" i="21"/>
  <c r="E300" i="21"/>
  <c r="E316" i="21"/>
  <c r="E332" i="21"/>
  <c r="E348" i="21"/>
  <c r="E52" i="21"/>
  <c r="E26" i="21"/>
  <c r="E22" i="21"/>
  <c r="E12" i="21"/>
  <c r="E16" i="21"/>
  <c r="E20" i="21"/>
  <c r="C37" i="20"/>
  <c r="E64" i="21"/>
  <c r="E80" i="21"/>
  <c r="E96" i="21"/>
  <c r="E112" i="21"/>
  <c r="E128" i="21"/>
  <c r="E144" i="21"/>
  <c r="E160" i="21"/>
  <c r="E176" i="21"/>
  <c r="E192" i="21"/>
  <c r="E208" i="21"/>
  <c r="E224" i="21"/>
  <c r="E240" i="21"/>
  <c r="E256" i="21"/>
  <c r="E272" i="21"/>
  <c r="E288" i="21"/>
  <c r="E304" i="21"/>
  <c r="E320" i="21"/>
  <c r="E336" i="21"/>
  <c r="E352" i="21"/>
  <c r="E41" i="21"/>
  <c r="E30" i="21"/>
  <c r="E23" i="21"/>
  <c r="E13" i="21"/>
  <c r="E17" i="21"/>
  <c r="E84" i="21"/>
  <c r="E116" i="21"/>
  <c r="E148" i="21"/>
  <c r="E164" i="21"/>
  <c r="E196" i="21"/>
  <c r="E228" i="21"/>
  <c r="E260" i="21"/>
  <c r="E292" i="21"/>
  <c r="E324" i="21"/>
  <c r="E356" i="21"/>
  <c r="E34" i="21"/>
  <c r="E14" i="21"/>
  <c r="E10" i="21"/>
  <c r="C39" i="20"/>
  <c r="F8" i="20" s="1"/>
  <c r="F9" i="20" l="1"/>
  <c r="J11" i="21"/>
  <c r="K11" i="21" s="1"/>
  <c r="C38" i="20"/>
  <c r="C30" i="20"/>
  <c r="G9" i="21" l="1"/>
  <c r="L9" i="21" s="1"/>
  <c r="E5" i="27" s="1"/>
  <c r="I13" i="20"/>
  <c r="H12" i="21"/>
  <c r="I9" i="20"/>
  <c r="I8" i="20"/>
  <c r="L16" i="20" s="1"/>
  <c r="I7" i="20"/>
  <c r="F18" i="20"/>
  <c r="F19" i="20" s="1"/>
  <c r="F17" i="20"/>
  <c r="F14" i="20"/>
  <c r="F12" i="20"/>
  <c r="L10" i="20" l="1"/>
  <c r="L17" i="20"/>
  <c r="L18" i="20" s="1"/>
  <c r="L11" i="20"/>
  <c r="L23" i="20"/>
  <c r="L21" i="20"/>
  <c r="L15" i="20"/>
  <c r="L9" i="20"/>
  <c r="L22" i="20"/>
  <c r="M9" i="21"/>
  <c r="F5" i="27" s="1"/>
  <c r="D5" i="27"/>
  <c r="D10" i="21"/>
  <c r="F10" i="21" s="1"/>
  <c r="G10" i="21" s="1"/>
  <c r="J12" i="21"/>
  <c r="K12" i="21" s="1"/>
  <c r="N25" i="21"/>
  <c r="N29" i="21"/>
  <c r="N21" i="21"/>
  <c r="N22" i="21"/>
  <c r="N26" i="21"/>
  <c r="N30" i="21"/>
  <c r="N23" i="21"/>
  <c r="N27" i="21"/>
  <c r="N31" i="21"/>
  <c r="N24" i="21"/>
  <c r="N28" i="21"/>
  <c r="N32" i="21"/>
  <c r="L30" i="20"/>
  <c r="L29" i="20"/>
  <c r="D11" i="21" l="1"/>
  <c r="F11" i="21" s="1"/>
  <c r="G11" i="21" s="1"/>
  <c r="D12" i="21" s="1"/>
  <c r="L10" i="21"/>
  <c r="M10" i="21"/>
  <c r="H13" i="21"/>
  <c r="N38" i="21"/>
  <c r="N33" i="21"/>
  <c r="N42" i="21"/>
  <c r="N35" i="21"/>
  <c r="N37" i="21"/>
  <c r="N34" i="21"/>
  <c r="N41" i="21"/>
  <c r="N44" i="21"/>
  <c r="N40" i="21"/>
  <c r="N39" i="21"/>
  <c r="N43" i="21"/>
  <c r="N36" i="21"/>
  <c r="P3" i="21"/>
  <c r="G4" i="21"/>
  <c r="C10" i="21" l="1"/>
  <c r="C5" i="27" s="1"/>
  <c r="C9" i="21"/>
  <c r="C21" i="21" s="1"/>
  <c r="M11" i="21"/>
  <c r="L11" i="21"/>
  <c r="J13" i="21"/>
  <c r="K13" i="21" s="1"/>
  <c r="F12" i="21"/>
  <c r="G12" i="21" s="1"/>
  <c r="N46" i="21"/>
  <c r="N49" i="21"/>
  <c r="N52" i="21"/>
  <c r="N54" i="21"/>
  <c r="N45" i="21"/>
  <c r="N53" i="21"/>
  <c r="N47" i="21"/>
  <c r="N50" i="21"/>
  <c r="N55" i="21"/>
  <c r="N48" i="21"/>
  <c r="N51" i="21"/>
  <c r="N56" i="21"/>
  <c r="L12" i="20"/>
  <c r="P2" i="21"/>
  <c r="C17" i="21"/>
  <c r="C29" i="21" s="1"/>
  <c r="C41" i="21" s="1"/>
  <c r="C53" i="21" s="1"/>
  <c r="C65" i="21" s="1"/>
  <c r="C77" i="21" s="1"/>
  <c r="C89" i="21" s="1"/>
  <c r="C101" i="21" s="1"/>
  <c r="C113" i="21" s="1"/>
  <c r="C125" i="21" s="1"/>
  <c r="C137" i="21" s="1"/>
  <c r="C149" i="21" s="1"/>
  <c r="C161" i="21" s="1"/>
  <c r="C173" i="21" s="1"/>
  <c r="C185" i="21" s="1"/>
  <c r="C197" i="21" s="1"/>
  <c r="C209" i="21" s="1"/>
  <c r="C221" i="21" s="1"/>
  <c r="C233" i="21" s="1"/>
  <c r="C245" i="21" s="1"/>
  <c r="C257" i="21" s="1"/>
  <c r="C269" i="21" s="1"/>
  <c r="C281" i="21" s="1"/>
  <c r="C293" i="21" s="1"/>
  <c r="C305" i="21" s="1"/>
  <c r="C317" i="21" s="1"/>
  <c r="C329" i="21" s="1"/>
  <c r="C16" i="21"/>
  <c r="C28" i="21" s="1"/>
  <c r="C40" i="21" s="1"/>
  <c r="C52" i="21" s="1"/>
  <c r="C64" i="21" s="1"/>
  <c r="C76" i="21" s="1"/>
  <c r="C88" i="21" s="1"/>
  <c r="C100" i="21" s="1"/>
  <c r="C112" i="21" s="1"/>
  <c r="C124" i="21" s="1"/>
  <c r="C136" i="21" s="1"/>
  <c r="C148" i="21" s="1"/>
  <c r="C160" i="21" s="1"/>
  <c r="C172" i="21" s="1"/>
  <c r="C184" i="21" s="1"/>
  <c r="C196" i="21" s="1"/>
  <c r="C208" i="21" s="1"/>
  <c r="C220" i="21" s="1"/>
  <c r="C232" i="21" s="1"/>
  <c r="C244" i="21" s="1"/>
  <c r="C256" i="21" s="1"/>
  <c r="C268" i="21" s="1"/>
  <c r="C280" i="21" s="1"/>
  <c r="C292" i="21" s="1"/>
  <c r="C304" i="21" s="1"/>
  <c r="C316" i="21" s="1"/>
  <c r="C328" i="21" s="1"/>
  <c r="C15" i="21"/>
  <c r="C27" i="21" s="1"/>
  <c r="C39" i="21" s="1"/>
  <c r="C51" i="21" s="1"/>
  <c r="C63" i="21" s="1"/>
  <c r="C75" i="21" s="1"/>
  <c r="C87" i="21" s="1"/>
  <c r="C99" i="21" s="1"/>
  <c r="C111" i="21" s="1"/>
  <c r="C123" i="21" s="1"/>
  <c r="C135" i="21" s="1"/>
  <c r="C147" i="21" s="1"/>
  <c r="C159" i="21" s="1"/>
  <c r="C171" i="21" s="1"/>
  <c r="C183" i="21" s="1"/>
  <c r="C195" i="21" s="1"/>
  <c r="C207" i="21" s="1"/>
  <c r="C219" i="21" s="1"/>
  <c r="C231" i="21" s="1"/>
  <c r="C243" i="21" s="1"/>
  <c r="C255" i="21" s="1"/>
  <c r="C267" i="21" s="1"/>
  <c r="C279" i="21" s="1"/>
  <c r="C291" i="21" s="1"/>
  <c r="C303" i="21" s="1"/>
  <c r="C315" i="21" s="1"/>
  <c r="C327" i="21" s="1"/>
  <c r="C13" i="21"/>
  <c r="C25" i="21" s="1"/>
  <c r="C37" i="21" s="1"/>
  <c r="C49" i="21" s="1"/>
  <c r="C61" i="21" s="1"/>
  <c r="C73" i="21" s="1"/>
  <c r="C85" i="21" s="1"/>
  <c r="C97" i="21" s="1"/>
  <c r="C109" i="21" s="1"/>
  <c r="C121" i="21" s="1"/>
  <c r="C133" i="21" s="1"/>
  <c r="C145" i="21" s="1"/>
  <c r="C157" i="21" s="1"/>
  <c r="C169" i="21" s="1"/>
  <c r="C181" i="21" s="1"/>
  <c r="C193" i="21" s="1"/>
  <c r="C205" i="21" s="1"/>
  <c r="C217" i="21" s="1"/>
  <c r="C229" i="21" s="1"/>
  <c r="C241" i="21" s="1"/>
  <c r="C253" i="21" s="1"/>
  <c r="C265" i="21" s="1"/>
  <c r="C277" i="21" s="1"/>
  <c r="C289" i="21" s="1"/>
  <c r="C301" i="21" s="1"/>
  <c r="C313" i="21" s="1"/>
  <c r="C325" i="21" s="1"/>
  <c r="C20" i="21"/>
  <c r="C32" i="21" s="1"/>
  <c r="C44" i="21" s="1"/>
  <c r="C56" i="21" s="1"/>
  <c r="C68" i="21" s="1"/>
  <c r="C80" i="21" s="1"/>
  <c r="C92" i="21" s="1"/>
  <c r="C104" i="21" s="1"/>
  <c r="C116" i="21" s="1"/>
  <c r="C128" i="21" s="1"/>
  <c r="C140" i="21" s="1"/>
  <c r="C152" i="21" s="1"/>
  <c r="C164" i="21" s="1"/>
  <c r="C176" i="21" s="1"/>
  <c r="C188" i="21" s="1"/>
  <c r="C200" i="21" s="1"/>
  <c r="C212" i="21" s="1"/>
  <c r="C224" i="21" s="1"/>
  <c r="C236" i="21" s="1"/>
  <c r="C248" i="21" s="1"/>
  <c r="C260" i="21" s="1"/>
  <c r="C272" i="21" s="1"/>
  <c r="C284" i="21" s="1"/>
  <c r="C296" i="21" s="1"/>
  <c r="C308" i="21" s="1"/>
  <c r="C320" i="21" s="1"/>
  <c r="C12" i="21"/>
  <c r="C24" i="21" s="1"/>
  <c r="C36" i="21" s="1"/>
  <c r="C48" i="21" s="1"/>
  <c r="C60" i="21" s="1"/>
  <c r="C72" i="21" s="1"/>
  <c r="C84" i="21" s="1"/>
  <c r="C96" i="21" s="1"/>
  <c r="C108" i="21" s="1"/>
  <c r="C120" i="21" s="1"/>
  <c r="C132" i="21" s="1"/>
  <c r="C144" i="21" s="1"/>
  <c r="C156" i="21" s="1"/>
  <c r="C168" i="21" s="1"/>
  <c r="C180" i="21" s="1"/>
  <c r="C192" i="21" s="1"/>
  <c r="C204" i="21" s="1"/>
  <c r="C216" i="21" s="1"/>
  <c r="C228" i="21" s="1"/>
  <c r="C240" i="21" s="1"/>
  <c r="C252" i="21" s="1"/>
  <c r="C264" i="21" s="1"/>
  <c r="C276" i="21" s="1"/>
  <c r="C288" i="21" s="1"/>
  <c r="C300" i="21" s="1"/>
  <c r="C312" i="21" s="1"/>
  <c r="C324" i="21" s="1"/>
  <c r="C14" i="21"/>
  <c r="C26" i="21" s="1"/>
  <c r="C38" i="21" s="1"/>
  <c r="C50" i="21" s="1"/>
  <c r="C62" i="21" s="1"/>
  <c r="C74" i="21" s="1"/>
  <c r="C86" i="21" s="1"/>
  <c r="C98" i="21" s="1"/>
  <c r="C110" i="21" s="1"/>
  <c r="C122" i="21" s="1"/>
  <c r="C134" i="21" s="1"/>
  <c r="C146" i="21" s="1"/>
  <c r="C158" i="21" s="1"/>
  <c r="C170" i="21" s="1"/>
  <c r="C182" i="21" s="1"/>
  <c r="C194" i="21" s="1"/>
  <c r="C206" i="21" s="1"/>
  <c r="C218" i="21" s="1"/>
  <c r="C230" i="21" s="1"/>
  <c r="C242" i="21" s="1"/>
  <c r="C254" i="21" s="1"/>
  <c r="C266" i="21" s="1"/>
  <c r="C278" i="21" s="1"/>
  <c r="C290" i="21" s="1"/>
  <c r="C302" i="21" s="1"/>
  <c r="C314" i="21" s="1"/>
  <c r="C326" i="21" s="1"/>
  <c r="C19" i="21"/>
  <c r="C31" i="21" s="1"/>
  <c r="C43" i="21" s="1"/>
  <c r="C55" i="21" s="1"/>
  <c r="C67" i="21" s="1"/>
  <c r="C79" i="21" s="1"/>
  <c r="C91" i="21" s="1"/>
  <c r="C103" i="21" s="1"/>
  <c r="C115" i="21" s="1"/>
  <c r="C127" i="21" s="1"/>
  <c r="C139" i="21" s="1"/>
  <c r="C151" i="21" s="1"/>
  <c r="C163" i="21" s="1"/>
  <c r="C175" i="21" s="1"/>
  <c r="C187" i="21" s="1"/>
  <c r="C199" i="21" s="1"/>
  <c r="C211" i="21" s="1"/>
  <c r="C223" i="21" s="1"/>
  <c r="C235" i="21" s="1"/>
  <c r="C247" i="21" s="1"/>
  <c r="C259" i="21" s="1"/>
  <c r="C271" i="21" s="1"/>
  <c r="C283" i="21" s="1"/>
  <c r="C295" i="21" s="1"/>
  <c r="C307" i="21" s="1"/>
  <c r="C319" i="21" s="1"/>
  <c r="C11" i="21"/>
  <c r="C23" i="21" s="1"/>
  <c r="C35" i="21" s="1"/>
  <c r="C47" i="21" s="1"/>
  <c r="C59" i="21" s="1"/>
  <c r="C71" i="21" s="1"/>
  <c r="C83" i="21" s="1"/>
  <c r="C95" i="21" s="1"/>
  <c r="C107" i="21" s="1"/>
  <c r="C119" i="21" s="1"/>
  <c r="C131" i="21" s="1"/>
  <c r="C143" i="21" s="1"/>
  <c r="C155" i="21" s="1"/>
  <c r="C167" i="21" s="1"/>
  <c r="C179" i="21" s="1"/>
  <c r="C191" i="21" s="1"/>
  <c r="C203" i="21" s="1"/>
  <c r="C215" i="21" s="1"/>
  <c r="C227" i="21" s="1"/>
  <c r="C239" i="21" s="1"/>
  <c r="C251" i="21" s="1"/>
  <c r="C263" i="21" s="1"/>
  <c r="C275" i="21" s="1"/>
  <c r="C287" i="21" s="1"/>
  <c r="C299" i="21" s="1"/>
  <c r="C311" i="21" s="1"/>
  <c r="C323" i="21" s="1"/>
  <c r="C18" i="21"/>
  <c r="C30" i="21" s="1"/>
  <c r="C42" i="21" s="1"/>
  <c r="C54" i="21" s="1"/>
  <c r="C66" i="21" s="1"/>
  <c r="C78" i="21" s="1"/>
  <c r="C90" i="21" s="1"/>
  <c r="C102" i="21" s="1"/>
  <c r="C114" i="21" s="1"/>
  <c r="C126" i="21" s="1"/>
  <c r="C138" i="21" s="1"/>
  <c r="C150" i="21" s="1"/>
  <c r="C162" i="21" s="1"/>
  <c r="C174" i="21" s="1"/>
  <c r="C186" i="21" s="1"/>
  <c r="C198" i="21" s="1"/>
  <c r="C210" i="21" s="1"/>
  <c r="C222" i="21" s="1"/>
  <c r="C234" i="21" s="1"/>
  <c r="C246" i="21" s="1"/>
  <c r="C258" i="21" s="1"/>
  <c r="C270" i="21" s="1"/>
  <c r="C282" i="21" s="1"/>
  <c r="C294" i="21" s="1"/>
  <c r="C306" i="21" s="1"/>
  <c r="C318" i="21" s="1"/>
  <c r="C330" i="21" s="1"/>
  <c r="C22" i="21"/>
  <c r="C34" i="21" s="1"/>
  <c r="C46" i="21" s="1"/>
  <c r="C58" i="21" s="1"/>
  <c r="C70" i="21" s="1"/>
  <c r="C82" i="21" s="1"/>
  <c r="M12" i="21" l="1"/>
  <c r="L12" i="21"/>
  <c r="H14" i="21"/>
  <c r="D13" i="21"/>
  <c r="N62" i="21"/>
  <c r="N58" i="21"/>
  <c r="N61" i="21"/>
  <c r="N65" i="21"/>
  <c r="N66" i="21"/>
  <c r="N57" i="21"/>
  <c r="N67" i="21"/>
  <c r="N59" i="21"/>
  <c r="N63" i="21"/>
  <c r="N68" i="21"/>
  <c r="N60" i="21"/>
  <c r="N64" i="21"/>
  <c r="C33" i="21"/>
  <c r="C6" i="27"/>
  <c r="I10" i="20"/>
  <c r="C94" i="21"/>
  <c r="C106" i="21" s="1"/>
  <c r="C118" i="21" s="1"/>
  <c r="C130" i="21" s="1"/>
  <c r="C142" i="21" s="1"/>
  <c r="C154" i="21" s="1"/>
  <c r="C166" i="21" s="1"/>
  <c r="C178" i="21" s="1"/>
  <c r="C190" i="21" s="1"/>
  <c r="C202" i="21" s="1"/>
  <c r="C214" i="21" s="1"/>
  <c r="C226" i="21" s="1"/>
  <c r="C238" i="21" s="1"/>
  <c r="C250" i="21" s="1"/>
  <c r="C262" i="21" s="1"/>
  <c r="C274" i="21" s="1"/>
  <c r="C286" i="21" s="1"/>
  <c r="C298" i="21" s="1"/>
  <c r="C310" i="21" s="1"/>
  <c r="C322" i="21" s="1"/>
  <c r="C7" i="27" l="1"/>
  <c r="J14" i="21"/>
  <c r="K14" i="21" s="1"/>
  <c r="F13" i="21"/>
  <c r="G13" i="21" s="1"/>
  <c r="I17" i="20"/>
  <c r="O45" i="21" s="1"/>
  <c r="I12" i="20"/>
  <c r="N70" i="21"/>
  <c r="N73" i="21"/>
  <c r="N76" i="21"/>
  <c r="N78" i="21"/>
  <c r="N69" i="21"/>
  <c r="N77" i="21"/>
  <c r="N79" i="21"/>
  <c r="N74" i="21"/>
  <c r="N71" i="21"/>
  <c r="N80" i="21"/>
  <c r="N75" i="21"/>
  <c r="N72" i="21"/>
  <c r="C45" i="21"/>
  <c r="C8" i="27" s="1"/>
  <c r="I15" i="20"/>
  <c r="M13" i="21" l="1"/>
  <c r="L13" i="21"/>
  <c r="H15" i="21"/>
  <c r="D14" i="21"/>
  <c r="O20" i="21"/>
  <c r="O324" i="21"/>
  <c r="O52" i="21"/>
  <c r="O31" i="21"/>
  <c r="O16" i="21"/>
  <c r="O41" i="21"/>
  <c r="O14" i="21"/>
  <c r="O59" i="21"/>
  <c r="O10" i="21"/>
  <c r="O21" i="21"/>
  <c r="O49" i="21"/>
  <c r="O39" i="21"/>
  <c r="O24" i="21"/>
  <c r="O34" i="21"/>
  <c r="O67" i="21"/>
  <c r="O74" i="21"/>
  <c r="O329" i="21"/>
  <c r="O72" i="21"/>
  <c r="O327" i="21"/>
  <c r="O9" i="21"/>
  <c r="O60" i="21"/>
  <c r="O42" i="21"/>
  <c r="O40" i="21"/>
  <c r="O11" i="21"/>
  <c r="O323" i="21"/>
  <c r="O51" i="21"/>
  <c r="O66" i="21"/>
  <c r="O321" i="21"/>
  <c r="O64" i="21"/>
  <c r="O63" i="21"/>
  <c r="O37" i="21"/>
  <c r="O75" i="21"/>
  <c r="O79" i="21"/>
  <c r="O13" i="21"/>
  <c r="O326" i="21"/>
  <c r="O54" i="21"/>
  <c r="O77" i="21"/>
  <c r="O73" i="21"/>
  <c r="O19" i="21"/>
  <c r="O32" i="21"/>
  <c r="O26" i="21"/>
  <c r="O58" i="21"/>
  <c r="O65" i="21"/>
  <c r="O56" i="21"/>
  <c r="O36" i="21"/>
  <c r="O15" i="21"/>
  <c r="O35" i="21"/>
  <c r="O46" i="21"/>
  <c r="O325" i="21"/>
  <c r="O68" i="21"/>
  <c r="O43" i="21"/>
  <c r="O330" i="21"/>
  <c r="O22" i="21"/>
  <c r="O23" i="21"/>
  <c r="O55" i="21"/>
  <c r="I19" i="20"/>
  <c r="O12" i="21"/>
  <c r="O18" i="21"/>
  <c r="O25" i="21"/>
  <c r="O33" i="21"/>
  <c r="O44" i="21"/>
  <c r="O17" i="21"/>
  <c r="O322" i="21"/>
  <c r="O50" i="21"/>
  <c r="O30" i="21"/>
  <c r="O57" i="21"/>
  <c r="O29" i="21"/>
  <c r="O48" i="21"/>
  <c r="O28" i="21"/>
  <c r="O47" i="21"/>
  <c r="O328" i="21"/>
  <c r="O27" i="21"/>
  <c r="O61" i="21"/>
  <c r="O71" i="21"/>
  <c r="O62" i="21"/>
  <c r="O53" i="21"/>
  <c r="O69" i="21"/>
  <c r="O70" i="21"/>
  <c r="O78" i="21"/>
  <c r="O38" i="21"/>
  <c r="O76" i="21"/>
  <c r="N89" i="21"/>
  <c r="O89" i="21" s="1"/>
  <c r="N84" i="21"/>
  <c r="O84" i="21" s="1"/>
  <c r="N85" i="21"/>
  <c r="O85" i="21" s="1"/>
  <c r="N83" i="21"/>
  <c r="O83" i="21" s="1"/>
  <c r="N82" i="21"/>
  <c r="O82" i="21" s="1"/>
  <c r="N92" i="21"/>
  <c r="N81" i="21"/>
  <c r="O81" i="21" s="1"/>
  <c r="N88" i="21"/>
  <c r="O88" i="21" s="1"/>
  <c r="N86" i="21"/>
  <c r="O86" i="21" s="1"/>
  <c r="N90" i="21"/>
  <c r="O90" i="21" s="1"/>
  <c r="N91" i="21"/>
  <c r="O91" i="21" s="1"/>
  <c r="N87" i="21"/>
  <c r="O87" i="21" s="1"/>
  <c r="O80" i="21"/>
  <c r="C57" i="21"/>
  <c r="C9" i="27" s="1"/>
  <c r="I16" i="20"/>
  <c r="L24" i="20"/>
  <c r="J15" i="21" l="1"/>
  <c r="K15" i="21" s="1"/>
  <c r="F14" i="21"/>
  <c r="G14" i="21" s="1"/>
  <c r="P9" i="21"/>
  <c r="N96" i="21"/>
  <c r="O96" i="21" s="1"/>
  <c r="N97" i="21"/>
  <c r="O97" i="21" s="1"/>
  <c r="N95" i="21"/>
  <c r="O95" i="21" s="1"/>
  <c r="N104" i="21"/>
  <c r="N93" i="21"/>
  <c r="O93" i="21" s="1"/>
  <c r="N101" i="21"/>
  <c r="O101" i="21" s="1"/>
  <c r="N98" i="21"/>
  <c r="O98" i="21" s="1"/>
  <c r="N100" i="21"/>
  <c r="O100" i="21" s="1"/>
  <c r="N102" i="21"/>
  <c r="O102" i="21" s="1"/>
  <c r="N99" i="21"/>
  <c r="O99" i="21" s="1"/>
  <c r="N94" i="21"/>
  <c r="O94" i="21" s="1"/>
  <c r="N103" i="21"/>
  <c r="O103" i="21" s="1"/>
  <c r="O92" i="21"/>
  <c r="C69" i="21"/>
  <c r="C10" i="27" s="1"/>
  <c r="I20" i="20"/>
  <c r="Q10" i="21" l="1"/>
  <c r="M14" i="21"/>
  <c r="L14" i="21"/>
  <c r="G5" i="27"/>
  <c r="H16" i="21"/>
  <c r="D15" i="21"/>
  <c r="P10" i="21"/>
  <c r="N112" i="21"/>
  <c r="O112" i="21" s="1"/>
  <c r="N114" i="21"/>
  <c r="O114" i="21" s="1"/>
  <c r="N109" i="21"/>
  <c r="O109" i="21" s="1"/>
  <c r="N110" i="21"/>
  <c r="O110" i="21" s="1"/>
  <c r="N116" i="21"/>
  <c r="N106" i="21"/>
  <c r="O106" i="21" s="1"/>
  <c r="N115" i="21"/>
  <c r="O115" i="21" s="1"/>
  <c r="N105" i="21"/>
  <c r="O105" i="21" s="1"/>
  <c r="N107" i="21"/>
  <c r="O107" i="21" s="1"/>
  <c r="N108" i="21"/>
  <c r="O108" i="21" s="1"/>
  <c r="N113" i="21"/>
  <c r="O113" i="21" s="1"/>
  <c r="N111" i="21"/>
  <c r="O111" i="21" s="1"/>
  <c r="O104" i="21"/>
  <c r="C81" i="21"/>
  <c r="C11" i="27" s="1"/>
  <c r="W9" i="21"/>
  <c r="J16" i="21" l="1"/>
  <c r="K16" i="21" s="1"/>
  <c r="I5" i="27"/>
  <c r="W10" i="21"/>
  <c r="P11" i="21"/>
  <c r="Q11" i="21"/>
  <c r="C93" i="21"/>
  <c r="C12" i="27" s="1"/>
  <c r="F15" i="21"/>
  <c r="G15" i="21" s="1"/>
  <c r="N120" i="21"/>
  <c r="O120" i="21" s="1"/>
  <c r="N122" i="21"/>
  <c r="O122" i="21" s="1"/>
  <c r="N127" i="21"/>
  <c r="O127" i="21" s="1"/>
  <c r="N121" i="21"/>
  <c r="O121" i="21" s="1"/>
  <c r="N124" i="21"/>
  <c r="O124" i="21" s="1"/>
  <c r="N118" i="21"/>
  <c r="O118" i="21" s="1"/>
  <c r="N117" i="21"/>
  <c r="O117" i="21" s="1"/>
  <c r="N126" i="21"/>
  <c r="O126" i="21" s="1"/>
  <c r="N119" i="21"/>
  <c r="O119" i="21" s="1"/>
  <c r="N128" i="21"/>
  <c r="N123" i="21"/>
  <c r="O123" i="21" s="1"/>
  <c r="N125" i="21"/>
  <c r="O125" i="21" s="1"/>
  <c r="O116" i="21"/>
  <c r="H17" i="21" l="1"/>
  <c r="J17" i="21" s="1"/>
  <c r="C105" i="21"/>
  <c r="C13" i="27" s="1"/>
  <c r="P12" i="21"/>
  <c r="Q12" i="21"/>
  <c r="M15" i="21"/>
  <c r="L15" i="21"/>
  <c r="D16" i="21"/>
  <c r="N135" i="21"/>
  <c r="O135" i="21" s="1"/>
  <c r="N137" i="21"/>
  <c r="O137" i="21" s="1"/>
  <c r="N140" i="21"/>
  <c r="N136" i="21"/>
  <c r="O136" i="21" s="1"/>
  <c r="N130" i="21"/>
  <c r="O130" i="21" s="1"/>
  <c r="N134" i="21"/>
  <c r="O134" i="21" s="1"/>
  <c r="N138" i="21"/>
  <c r="O138" i="21" s="1"/>
  <c r="N139" i="21"/>
  <c r="O139" i="21" s="1"/>
  <c r="N133" i="21"/>
  <c r="O133" i="21" s="1"/>
  <c r="N131" i="21"/>
  <c r="O131" i="21" s="1"/>
  <c r="N132" i="21"/>
  <c r="O132" i="21" s="1"/>
  <c r="N129" i="21"/>
  <c r="O129" i="21" s="1"/>
  <c r="O128" i="21"/>
  <c r="W11" i="21"/>
  <c r="K17" i="21" l="1"/>
  <c r="C117" i="21"/>
  <c r="C14" i="27" s="1"/>
  <c r="P13" i="21"/>
  <c r="P14" i="21" s="1"/>
  <c r="Q13" i="21"/>
  <c r="H18" i="21"/>
  <c r="F16" i="21"/>
  <c r="G16" i="21" s="1"/>
  <c r="N144" i="21"/>
  <c r="O144" i="21" s="1"/>
  <c r="N141" i="21"/>
  <c r="O141" i="21" s="1"/>
  <c r="N151" i="21"/>
  <c r="O151" i="21" s="1"/>
  <c r="N152" i="21"/>
  <c r="N147" i="21"/>
  <c r="O147" i="21" s="1"/>
  <c r="N149" i="21"/>
  <c r="O149" i="21" s="1"/>
  <c r="N146" i="21"/>
  <c r="O146" i="21" s="1"/>
  <c r="N148" i="21"/>
  <c r="O148" i="21" s="1"/>
  <c r="N150" i="21"/>
  <c r="O150" i="21" s="1"/>
  <c r="N145" i="21"/>
  <c r="O145" i="21" s="1"/>
  <c r="N142" i="21"/>
  <c r="O142" i="21" s="1"/>
  <c r="N143" i="21"/>
  <c r="O143" i="21" s="1"/>
  <c r="O140" i="21"/>
  <c r="W12" i="21"/>
  <c r="C129" i="21" l="1"/>
  <c r="C15" i="27" s="1"/>
  <c r="Q14" i="21"/>
  <c r="M16" i="21"/>
  <c r="L16" i="21"/>
  <c r="J18" i="21"/>
  <c r="K18" i="21" s="1"/>
  <c r="D17" i="21"/>
  <c r="N160" i="21"/>
  <c r="O160" i="21" s="1"/>
  <c r="N162" i="21"/>
  <c r="O162" i="21" s="1"/>
  <c r="N159" i="21"/>
  <c r="O159" i="21" s="1"/>
  <c r="N154" i="21"/>
  <c r="O154" i="21" s="1"/>
  <c r="N155" i="21"/>
  <c r="O155" i="21" s="1"/>
  <c r="N157" i="21"/>
  <c r="O157" i="21" s="1"/>
  <c r="N161" i="21"/>
  <c r="O161" i="21" s="1"/>
  <c r="N158" i="21"/>
  <c r="O158" i="21" s="1"/>
  <c r="N163" i="21"/>
  <c r="O163" i="21" s="1"/>
  <c r="N156" i="21"/>
  <c r="O156" i="21" s="1"/>
  <c r="N153" i="21"/>
  <c r="O153" i="21" s="1"/>
  <c r="N164" i="21"/>
  <c r="O152" i="21"/>
  <c r="W13" i="21"/>
  <c r="C141" i="21" l="1"/>
  <c r="C16" i="27" s="1"/>
  <c r="P15" i="21"/>
  <c r="Q15" i="21"/>
  <c r="H19" i="21"/>
  <c r="F17" i="21"/>
  <c r="G17" i="21" s="1"/>
  <c r="N171" i="21"/>
  <c r="O171" i="21" s="1"/>
  <c r="N172" i="21"/>
  <c r="O172" i="21" s="1"/>
  <c r="N173" i="21"/>
  <c r="O173" i="21" s="1"/>
  <c r="O164" i="21"/>
  <c r="N176" i="21"/>
  <c r="N170" i="21"/>
  <c r="O170" i="21" s="1"/>
  <c r="N169" i="21"/>
  <c r="O169" i="21" s="1"/>
  <c r="N166" i="21"/>
  <c r="O166" i="21" s="1"/>
  <c r="N175" i="21"/>
  <c r="O175" i="21" s="1"/>
  <c r="N168" i="21"/>
  <c r="O168" i="21" s="1"/>
  <c r="N165" i="21"/>
  <c r="O165" i="21" s="1"/>
  <c r="N174" i="21"/>
  <c r="O174" i="21" s="1"/>
  <c r="N167" i="21"/>
  <c r="O167" i="21" s="1"/>
  <c r="W14" i="21"/>
  <c r="C153" i="21" l="1"/>
  <c r="C17" i="27" s="1"/>
  <c r="P16" i="21"/>
  <c r="Q16" i="21"/>
  <c r="M17" i="21"/>
  <c r="L17" i="21"/>
  <c r="J19" i="21"/>
  <c r="K19" i="21" s="1"/>
  <c r="D18" i="21"/>
  <c r="O176" i="21"/>
  <c r="N178" i="21"/>
  <c r="O178" i="21" s="1"/>
  <c r="N187" i="21"/>
  <c r="O187" i="21" s="1"/>
  <c r="N177" i="21"/>
  <c r="O177" i="21" s="1"/>
  <c r="N179" i="21"/>
  <c r="O179" i="21" s="1"/>
  <c r="N180" i="21"/>
  <c r="O180" i="21" s="1"/>
  <c r="N182" i="21"/>
  <c r="O182" i="21" s="1"/>
  <c r="N188" i="21"/>
  <c r="N184" i="21"/>
  <c r="O184" i="21" s="1"/>
  <c r="N186" i="21"/>
  <c r="O186" i="21" s="1"/>
  <c r="N181" i="21"/>
  <c r="O181" i="21" s="1"/>
  <c r="N185" i="21"/>
  <c r="O185" i="21" s="1"/>
  <c r="N183" i="21"/>
  <c r="O183" i="21" s="1"/>
  <c r="W15" i="21"/>
  <c r="C165" i="21" l="1"/>
  <c r="C18" i="27" s="1"/>
  <c r="P17" i="21"/>
  <c r="Q17" i="21"/>
  <c r="H20" i="21"/>
  <c r="F18" i="21"/>
  <c r="G18" i="21" s="1"/>
  <c r="O188" i="21"/>
  <c r="N192" i="21"/>
  <c r="O192" i="21" s="1"/>
  <c r="N194" i="21"/>
  <c r="O194" i="21" s="1"/>
  <c r="N199" i="21"/>
  <c r="O199" i="21" s="1"/>
  <c r="N200" i="21"/>
  <c r="N195" i="21"/>
  <c r="O195" i="21" s="1"/>
  <c r="N197" i="21"/>
  <c r="O197" i="21" s="1"/>
  <c r="N193" i="21"/>
  <c r="O193" i="21" s="1"/>
  <c r="N196" i="21"/>
  <c r="O196" i="21" s="1"/>
  <c r="N190" i="21"/>
  <c r="O190" i="21" s="1"/>
  <c r="N189" i="21"/>
  <c r="O189" i="21" s="1"/>
  <c r="N198" i="21"/>
  <c r="O198" i="21" s="1"/>
  <c r="N191" i="21"/>
  <c r="O191" i="21" s="1"/>
  <c r="W16" i="21"/>
  <c r="J20" i="21" l="1"/>
  <c r="K20" i="21" s="1"/>
  <c r="C177" i="21"/>
  <c r="C19" i="27" s="1"/>
  <c r="P18" i="21"/>
  <c r="Q18" i="21"/>
  <c r="M18" i="21"/>
  <c r="L18" i="21"/>
  <c r="D19" i="21"/>
  <c r="O200" i="21"/>
  <c r="N208" i="21"/>
  <c r="O208" i="21" s="1"/>
  <c r="N202" i="21"/>
  <c r="O202" i="21" s="1"/>
  <c r="N206" i="21"/>
  <c r="O206" i="21" s="1"/>
  <c r="N210" i="21"/>
  <c r="O210" i="21" s="1"/>
  <c r="N203" i="21"/>
  <c r="O203" i="21" s="1"/>
  <c r="N207" i="21"/>
  <c r="O207" i="21" s="1"/>
  <c r="N209" i="21"/>
  <c r="O209" i="21" s="1"/>
  <c r="N212" i="21"/>
  <c r="N201" i="21"/>
  <c r="O201" i="21" s="1"/>
  <c r="N211" i="21"/>
  <c r="O211" i="21" s="1"/>
  <c r="N204" i="21"/>
  <c r="O204" i="21" s="1"/>
  <c r="N205" i="21"/>
  <c r="O205" i="21" s="1"/>
  <c r="W17" i="21"/>
  <c r="H21" i="21" l="1"/>
  <c r="C189" i="21"/>
  <c r="C20" i="27" s="1"/>
  <c r="Q19" i="21"/>
  <c r="P19" i="21"/>
  <c r="J21" i="21"/>
  <c r="F19" i="21"/>
  <c r="G19" i="21" s="1"/>
  <c r="O212" i="21"/>
  <c r="N218" i="21"/>
  <c r="O218" i="21" s="1"/>
  <c r="N220" i="21"/>
  <c r="O220" i="21" s="1"/>
  <c r="N222" i="21"/>
  <c r="O222" i="21" s="1"/>
  <c r="N214" i="21"/>
  <c r="O214" i="21" s="1"/>
  <c r="N223" i="21"/>
  <c r="O223" i="21" s="1"/>
  <c r="N216" i="21"/>
  <c r="O216" i="21" s="1"/>
  <c r="N217" i="21"/>
  <c r="O217" i="21" s="1"/>
  <c r="N215" i="21"/>
  <c r="O215" i="21" s="1"/>
  <c r="N219" i="21"/>
  <c r="O219" i="21" s="1"/>
  <c r="N224" i="21"/>
  <c r="N213" i="21"/>
  <c r="O213" i="21" s="1"/>
  <c r="N221" i="21"/>
  <c r="O221" i="21" s="1"/>
  <c r="W18" i="21"/>
  <c r="K21" i="21" l="1"/>
  <c r="C201" i="21"/>
  <c r="C21" i="27" s="1"/>
  <c r="P20" i="21"/>
  <c r="R21" i="21" s="1"/>
  <c r="Q20" i="21"/>
  <c r="M19" i="21"/>
  <c r="L19" i="21"/>
  <c r="H22" i="21"/>
  <c r="D20" i="21"/>
  <c r="O224" i="21"/>
  <c r="N226" i="21"/>
  <c r="O226" i="21" s="1"/>
  <c r="N235" i="21"/>
  <c r="O235" i="21" s="1"/>
  <c r="N229" i="21"/>
  <c r="O229" i="21" s="1"/>
  <c r="N227" i="21"/>
  <c r="O227" i="21" s="1"/>
  <c r="N228" i="21"/>
  <c r="O228" i="21" s="1"/>
  <c r="N225" i="21"/>
  <c r="O225" i="21" s="1"/>
  <c r="N236" i="21"/>
  <c r="N231" i="21"/>
  <c r="O231" i="21" s="1"/>
  <c r="N232" i="21"/>
  <c r="O232" i="21" s="1"/>
  <c r="N234" i="21"/>
  <c r="O234" i="21" s="1"/>
  <c r="N233" i="21"/>
  <c r="O233" i="21" s="1"/>
  <c r="N230" i="21"/>
  <c r="O230" i="21" s="1"/>
  <c r="W19" i="21"/>
  <c r="C213" i="21" l="1"/>
  <c r="C22" i="27" s="1"/>
  <c r="P21" i="21"/>
  <c r="Q21" i="21"/>
  <c r="H6" i="27" s="1"/>
  <c r="J22" i="21"/>
  <c r="K22" i="21" s="1"/>
  <c r="F20" i="21"/>
  <c r="G20" i="21" s="1"/>
  <c r="O236" i="21"/>
  <c r="N248" i="21"/>
  <c r="N243" i="21"/>
  <c r="O243" i="21" s="1"/>
  <c r="N238" i="21"/>
  <c r="O238" i="21" s="1"/>
  <c r="N241" i="21"/>
  <c r="O241" i="21" s="1"/>
  <c r="N244" i="21"/>
  <c r="O244" i="21" s="1"/>
  <c r="N246" i="21"/>
  <c r="O246" i="21" s="1"/>
  <c r="N237" i="21"/>
  <c r="O237" i="21" s="1"/>
  <c r="N247" i="21"/>
  <c r="O247" i="21" s="1"/>
  <c r="N239" i="21"/>
  <c r="O239" i="21" s="1"/>
  <c r="N240" i="21"/>
  <c r="O240" i="21" s="1"/>
  <c r="N242" i="21"/>
  <c r="O242" i="21" s="1"/>
  <c r="N245" i="21"/>
  <c r="O245" i="21" s="1"/>
  <c r="W20" i="21"/>
  <c r="C225" i="21" l="1"/>
  <c r="C23" i="27" s="1"/>
  <c r="G6" i="27"/>
  <c r="P22" i="21"/>
  <c r="Q22" i="21"/>
  <c r="M20" i="21"/>
  <c r="L20" i="21"/>
  <c r="S21" i="21" s="1"/>
  <c r="U33" i="21" s="1"/>
  <c r="H23" i="21"/>
  <c r="D21" i="21"/>
  <c r="O248" i="21"/>
  <c r="N256" i="21"/>
  <c r="O256" i="21" s="1"/>
  <c r="N257" i="21"/>
  <c r="O257" i="21" s="1"/>
  <c r="N254" i="21"/>
  <c r="O254" i="21" s="1"/>
  <c r="N255" i="21"/>
  <c r="O255" i="21" s="1"/>
  <c r="N251" i="21"/>
  <c r="O251" i="21" s="1"/>
  <c r="N252" i="21"/>
  <c r="O252" i="21" s="1"/>
  <c r="N253" i="21"/>
  <c r="O253" i="21" s="1"/>
  <c r="N258" i="21"/>
  <c r="O258" i="21" s="1"/>
  <c r="N250" i="21"/>
  <c r="O250" i="21" s="1"/>
  <c r="N259" i="21"/>
  <c r="O259" i="21" s="1"/>
  <c r="N260" i="21"/>
  <c r="N249" i="21"/>
  <c r="O249" i="21" s="1"/>
  <c r="W21" i="21"/>
  <c r="I6" i="27" s="1"/>
  <c r="J23" i="21" l="1"/>
  <c r="K23" i="21" s="1"/>
  <c r="C237" i="21"/>
  <c r="C24" i="27" s="1"/>
  <c r="T21" i="21"/>
  <c r="V21" i="21" s="1"/>
  <c r="J6" i="27" s="1"/>
  <c r="P23" i="21"/>
  <c r="Q23" i="21"/>
  <c r="F21" i="21"/>
  <c r="G21" i="21" s="1"/>
  <c r="L21" i="21" s="1"/>
  <c r="E6" i="27" s="1"/>
  <c r="O260" i="21"/>
  <c r="N264" i="21"/>
  <c r="O264" i="21" s="1"/>
  <c r="N261" i="21"/>
  <c r="O261" i="21" s="1"/>
  <c r="N272" i="21"/>
  <c r="N267" i="21"/>
  <c r="O267" i="21" s="1"/>
  <c r="N269" i="21"/>
  <c r="O269" i="21" s="1"/>
  <c r="N266" i="21"/>
  <c r="O266" i="21" s="1"/>
  <c r="N268" i="21"/>
  <c r="O268" i="21" s="1"/>
  <c r="N270" i="21"/>
  <c r="O270" i="21" s="1"/>
  <c r="N265" i="21"/>
  <c r="O265" i="21" s="1"/>
  <c r="N262" i="21"/>
  <c r="O262" i="21" s="1"/>
  <c r="N263" i="21"/>
  <c r="O263" i="21" s="1"/>
  <c r="N271" i="21"/>
  <c r="O271" i="21" s="1"/>
  <c r="W22" i="21"/>
  <c r="C249" i="21" l="1"/>
  <c r="C25" i="27" s="1"/>
  <c r="P24" i="21"/>
  <c r="Q24" i="21"/>
  <c r="M21" i="21"/>
  <c r="D6" i="27"/>
  <c r="D22" i="21"/>
  <c r="O272" i="21"/>
  <c r="N280" i="21"/>
  <c r="O280" i="21" s="1"/>
  <c r="N282" i="21"/>
  <c r="O282" i="21" s="1"/>
  <c r="N279" i="21"/>
  <c r="O279" i="21" s="1"/>
  <c r="N283" i="21"/>
  <c r="O283" i="21" s="1"/>
  <c r="N275" i="21"/>
  <c r="O275" i="21" s="1"/>
  <c r="N277" i="21"/>
  <c r="O277" i="21" s="1"/>
  <c r="N281" i="21"/>
  <c r="O281" i="21" s="1"/>
  <c r="N276" i="21"/>
  <c r="O276" i="21" s="1"/>
  <c r="N273" i="21"/>
  <c r="O273" i="21" s="1"/>
  <c r="N274" i="21"/>
  <c r="O274" i="21" s="1"/>
  <c r="N284" i="21"/>
  <c r="N278" i="21"/>
  <c r="O278" i="21" s="1"/>
  <c r="W23" i="21"/>
  <c r="H24" i="21" l="1"/>
  <c r="C261" i="21"/>
  <c r="C26" i="27" s="1"/>
  <c r="P25" i="21"/>
  <c r="Q25" i="21"/>
  <c r="F22" i="21"/>
  <c r="G22" i="21" s="1"/>
  <c r="O284" i="21"/>
  <c r="N288" i="21"/>
  <c r="O288" i="21" s="1"/>
  <c r="N285" i="21"/>
  <c r="O285" i="21" s="1"/>
  <c r="N294" i="21"/>
  <c r="O294" i="21" s="1"/>
  <c r="N296" i="21"/>
  <c r="N290" i="21"/>
  <c r="O290" i="21" s="1"/>
  <c r="N287" i="21"/>
  <c r="O287" i="21" s="1"/>
  <c r="N291" i="21"/>
  <c r="O291" i="21" s="1"/>
  <c r="N292" i="21"/>
  <c r="O292" i="21" s="1"/>
  <c r="N293" i="21"/>
  <c r="O293" i="21" s="1"/>
  <c r="N289" i="21"/>
  <c r="O289" i="21" s="1"/>
  <c r="N286" i="21"/>
  <c r="O286" i="21" s="1"/>
  <c r="N295" i="21"/>
  <c r="O295" i="21" s="1"/>
  <c r="W24" i="21"/>
  <c r="J24" i="21" l="1"/>
  <c r="K24" i="21" s="1"/>
  <c r="C273" i="21"/>
  <c r="C27" i="27" s="1"/>
  <c r="P26" i="21"/>
  <c r="Q26" i="21"/>
  <c r="M22" i="21"/>
  <c r="L22" i="21"/>
  <c r="D23" i="21"/>
  <c r="O296" i="21"/>
  <c r="N304" i="21"/>
  <c r="O304" i="21" s="1"/>
  <c r="N298" i="21"/>
  <c r="O298" i="21" s="1"/>
  <c r="N301" i="21"/>
  <c r="O301" i="21" s="1"/>
  <c r="N306" i="21"/>
  <c r="O306" i="21" s="1"/>
  <c r="N299" i="21"/>
  <c r="O299" i="21" s="1"/>
  <c r="N297" i="21"/>
  <c r="O297" i="21" s="1"/>
  <c r="N307" i="21"/>
  <c r="O307" i="21" s="1"/>
  <c r="N300" i="21"/>
  <c r="O300" i="21" s="1"/>
  <c r="N302" i="21"/>
  <c r="O302" i="21" s="1"/>
  <c r="N305" i="21"/>
  <c r="O305" i="21" s="1"/>
  <c r="N308" i="21"/>
  <c r="N303" i="21"/>
  <c r="O303" i="21" s="1"/>
  <c r="W25" i="21"/>
  <c r="H25" i="21" l="1"/>
  <c r="J25" i="21" s="1"/>
  <c r="C285" i="21"/>
  <c r="P27" i="21"/>
  <c r="Q27" i="21"/>
  <c r="F23" i="21"/>
  <c r="G23" i="21" s="1"/>
  <c r="O308" i="21"/>
  <c r="N312" i="21"/>
  <c r="O312" i="21" s="1"/>
  <c r="N309" i="21"/>
  <c r="O309" i="21" s="1"/>
  <c r="N311" i="21"/>
  <c r="O311" i="21" s="1"/>
  <c r="N320" i="21"/>
  <c r="O320" i="21" s="1"/>
  <c r="N314" i="21"/>
  <c r="O314" i="21" s="1"/>
  <c r="N317" i="21"/>
  <c r="O317" i="21" s="1"/>
  <c r="N315" i="21"/>
  <c r="O315" i="21" s="1"/>
  <c r="N316" i="21"/>
  <c r="O316" i="21" s="1"/>
  <c r="N310" i="21"/>
  <c r="O310" i="21" s="1"/>
  <c r="N313" i="21"/>
  <c r="O313" i="21" s="1"/>
  <c r="N318" i="21"/>
  <c r="O318" i="21" s="1"/>
  <c r="N319" i="21"/>
  <c r="O319" i="21" s="1"/>
  <c r="W26" i="21"/>
  <c r="C297" i="21"/>
  <c r="C28" i="27"/>
  <c r="K25" i="21" l="1"/>
  <c r="P28" i="21"/>
  <c r="Q28" i="21"/>
  <c r="M23" i="21"/>
  <c r="L23" i="21"/>
  <c r="D24" i="21"/>
  <c r="W27" i="21"/>
  <c r="C309" i="21"/>
  <c r="C29" i="27"/>
  <c r="H26" i="21" l="1"/>
  <c r="J26" i="21" s="1"/>
  <c r="P29" i="21"/>
  <c r="Q29" i="21"/>
  <c r="F24" i="21"/>
  <c r="G24" i="21" s="1"/>
  <c r="W28" i="21"/>
  <c r="C321" i="21"/>
  <c r="C333" i="21" s="1"/>
  <c r="C345" i="21" s="1"/>
  <c r="C357" i="21" s="1"/>
  <c r="C369" i="21" s="1"/>
  <c r="C381" i="21" s="1"/>
  <c r="C393" i="21" s="1"/>
  <c r="C405" i="21" s="1"/>
  <c r="C417" i="21" s="1"/>
  <c r="C429" i="21" s="1"/>
  <c r="C441" i="21" s="1"/>
  <c r="C453" i="21" s="1"/>
  <c r="C465" i="21" s="1"/>
  <c r="C477" i="21" s="1"/>
  <c r="C489" i="21" s="1"/>
  <c r="C501" i="21" s="1"/>
  <c r="C513" i="21" s="1"/>
  <c r="C30" i="27"/>
  <c r="K26" i="21" l="1"/>
  <c r="P30" i="21"/>
  <c r="Q30" i="21"/>
  <c r="M24" i="21"/>
  <c r="L24" i="21"/>
  <c r="D25" i="21"/>
  <c r="W29" i="21"/>
  <c r="H27" i="21" l="1"/>
  <c r="J27" i="21" s="1"/>
  <c r="P31" i="21"/>
  <c r="Q31" i="21"/>
  <c r="F25" i="21"/>
  <c r="G25" i="21" s="1"/>
  <c r="W30" i="21"/>
  <c r="K27" i="21" l="1"/>
  <c r="P32" i="21"/>
  <c r="R33" i="21" s="1"/>
  <c r="Q32" i="21"/>
  <c r="M25" i="21"/>
  <c r="L25" i="21"/>
  <c r="D26" i="21"/>
  <c r="W31" i="21"/>
  <c r="H28" i="21" l="1"/>
  <c r="J28" i="21" s="1"/>
  <c r="P33" i="21"/>
  <c r="G7" i="27" s="1"/>
  <c r="Q33" i="21"/>
  <c r="H7" i="27" s="1"/>
  <c r="F26" i="21"/>
  <c r="G26" i="21" s="1"/>
  <c r="W32" i="21"/>
  <c r="K28" i="21" l="1"/>
  <c r="W33" i="21"/>
  <c r="I7" i="27" s="1"/>
  <c r="P34" i="21"/>
  <c r="Q34" i="21"/>
  <c r="M26" i="21"/>
  <c r="L26" i="21"/>
  <c r="D27" i="21"/>
  <c r="H29" i="21" l="1"/>
  <c r="J29" i="21" s="1"/>
  <c r="P35" i="21"/>
  <c r="Q35" i="21"/>
  <c r="F27" i="21"/>
  <c r="G27" i="21" s="1"/>
  <c r="W34" i="21"/>
  <c r="K29" i="21" l="1"/>
  <c r="P36" i="21"/>
  <c r="Q36" i="21"/>
  <c r="M27" i="21"/>
  <c r="L27" i="21"/>
  <c r="D28" i="21"/>
  <c r="W35" i="21"/>
  <c r="H30" i="21" l="1"/>
  <c r="J30" i="21" s="1"/>
  <c r="P37" i="21"/>
  <c r="Q37" i="21"/>
  <c r="F28" i="21"/>
  <c r="G28" i="21" s="1"/>
  <c r="W36" i="21"/>
  <c r="K30" i="21" l="1"/>
  <c r="P38" i="21"/>
  <c r="Q38" i="21"/>
  <c r="M28" i="21"/>
  <c r="L28" i="21"/>
  <c r="D29" i="21"/>
  <c r="W37" i="21"/>
  <c r="H31" i="21" l="1"/>
  <c r="J31" i="21" s="1"/>
  <c r="P39" i="21"/>
  <c r="Q39" i="21"/>
  <c r="F29" i="21"/>
  <c r="G29" i="21" s="1"/>
  <c r="W38" i="21"/>
  <c r="K31" i="21" l="1"/>
  <c r="P40" i="21"/>
  <c r="Q40" i="21"/>
  <c r="M29" i="21"/>
  <c r="L29" i="21"/>
  <c r="D30" i="21"/>
  <c r="W39" i="21"/>
  <c r="H32" i="21" l="1"/>
  <c r="J32" i="21" s="1"/>
  <c r="K32" i="21" s="1"/>
  <c r="P41" i="21"/>
  <c r="Q41" i="21"/>
  <c r="F30" i="21"/>
  <c r="G30" i="21" s="1"/>
  <c r="W40" i="21"/>
  <c r="P42" i="21" l="1"/>
  <c r="Q42" i="21"/>
  <c r="M30" i="21"/>
  <c r="L30" i="21"/>
  <c r="D31" i="21"/>
  <c r="W41" i="21"/>
  <c r="H33" i="21" l="1"/>
  <c r="P43" i="21"/>
  <c r="Q43" i="21"/>
  <c r="F31" i="21"/>
  <c r="G31" i="21" s="1"/>
  <c r="W42" i="21"/>
  <c r="J33" i="21" l="1"/>
  <c r="K33" i="21" s="1"/>
  <c r="P44" i="21"/>
  <c r="R45" i="21" s="1"/>
  <c r="Q44" i="21"/>
  <c r="M31" i="21"/>
  <c r="L31" i="21"/>
  <c r="D32" i="21"/>
  <c r="W43" i="21"/>
  <c r="H34" i="21" l="1"/>
  <c r="J34" i="21" s="1"/>
  <c r="P45" i="21"/>
  <c r="G8" i="27" s="1"/>
  <c r="Q45" i="21"/>
  <c r="F32" i="21"/>
  <c r="G32" i="21" s="1"/>
  <c r="W44" i="21"/>
  <c r="H8" i="27"/>
  <c r="K34" i="21" l="1"/>
  <c r="P46" i="21"/>
  <c r="Q46" i="21"/>
  <c r="M32" i="21"/>
  <c r="L32" i="21"/>
  <c r="S33" i="21" s="1"/>
  <c r="D33" i="21"/>
  <c r="W45" i="21"/>
  <c r="I8" i="27" s="1"/>
  <c r="H35" i="21" l="1"/>
  <c r="J35" i="21" s="1"/>
  <c r="T33" i="21"/>
  <c r="V33" i="21" s="1"/>
  <c r="J7" i="27" s="1"/>
  <c r="U45" i="21"/>
  <c r="P47" i="21"/>
  <c r="Q47" i="21"/>
  <c r="F33" i="21"/>
  <c r="G33" i="21" s="1"/>
  <c r="W46" i="21"/>
  <c r="K35" i="21" l="1"/>
  <c r="P48" i="21"/>
  <c r="Q48" i="21"/>
  <c r="M33" i="21"/>
  <c r="L33" i="21"/>
  <c r="E7" i="27" s="1"/>
  <c r="D34" i="21"/>
  <c r="W47" i="21"/>
  <c r="H36" i="21" l="1"/>
  <c r="J36" i="21" s="1"/>
  <c r="P49" i="21"/>
  <c r="Q49" i="21"/>
  <c r="F34" i="21"/>
  <c r="G34" i="21" s="1"/>
  <c r="W48" i="21"/>
  <c r="K36" i="21" l="1"/>
  <c r="P50" i="21"/>
  <c r="Q50" i="21"/>
  <c r="M34" i="21"/>
  <c r="L34" i="21"/>
  <c r="D35" i="21"/>
  <c r="W49" i="21"/>
  <c r="H37" i="21" l="1"/>
  <c r="J37" i="21" s="1"/>
  <c r="P51" i="21"/>
  <c r="Q51" i="21"/>
  <c r="F35" i="21"/>
  <c r="G35" i="21" s="1"/>
  <c r="W50" i="21"/>
  <c r="K37" i="21" l="1"/>
  <c r="P52" i="21"/>
  <c r="Q52" i="21"/>
  <c r="M35" i="21"/>
  <c r="L35" i="21"/>
  <c r="D36" i="21"/>
  <c r="W51" i="21"/>
  <c r="H38" i="21" l="1"/>
  <c r="J38" i="21" s="1"/>
  <c r="P53" i="21"/>
  <c r="Q53" i="21"/>
  <c r="F36" i="21"/>
  <c r="G36" i="21" s="1"/>
  <c r="W52" i="21"/>
  <c r="K38" i="21" l="1"/>
  <c r="P54" i="21"/>
  <c r="Q54" i="21"/>
  <c r="M36" i="21"/>
  <c r="L36" i="21"/>
  <c r="D37" i="21"/>
  <c r="W53" i="21"/>
  <c r="H39" i="21" l="1"/>
  <c r="J39" i="21" s="1"/>
  <c r="P55" i="21"/>
  <c r="Q55" i="21"/>
  <c r="F37" i="21"/>
  <c r="G37" i="21" s="1"/>
  <c r="W54" i="21"/>
  <c r="K39" i="21" l="1"/>
  <c r="P56" i="21"/>
  <c r="R57" i="21" s="1"/>
  <c r="Q56" i="21"/>
  <c r="M37" i="21"/>
  <c r="L37" i="21"/>
  <c r="D38" i="21"/>
  <c r="W55" i="21"/>
  <c r="H40" i="21" l="1"/>
  <c r="J40" i="21" s="1"/>
  <c r="P57" i="21"/>
  <c r="G9" i="27" s="1"/>
  <c r="Q57" i="21"/>
  <c r="H9" i="27" s="1"/>
  <c r="F38" i="21"/>
  <c r="G38" i="21" s="1"/>
  <c r="W56" i="21"/>
  <c r="K40" i="21" l="1"/>
  <c r="P58" i="21"/>
  <c r="Q58" i="21"/>
  <c r="M38" i="21"/>
  <c r="L38" i="21"/>
  <c r="D39" i="21"/>
  <c r="W57" i="21"/>
  <c r="I9" i="27" s="1"/>
  <c r="H41" i="21" l="1"/>
  <c r="J41" i="21" s="1"/>
  <c r="P59" i="21"/>
  <c r="Q59" i="21"/>
  <c r="F39" i="21"/>
  <c r="G39" i="21" s="1"/>
  <c r="W58" i="21"/>
  <c r="K41" i="21" l="1"/>
  <c r="P60" i="21"/>
  <c r="Q60" i="21"/>
  <c r="M39" i="21"/>
  <c r="L39" i="21"/>
  <c r="D40" i="21"/>
  <c r="W59" i="21"/>
  <c r="H42" i="21" l="1"/>
  <c r="P61" i="21"/>
  <c r="Q61" i="21"/>
  <c r="F40" i="21"/>
  <c r="G40" i="21" s="1"/>
  <c r="W60" i="21"/>
  <c r="J42" i="21" l="1"/>
  <c r="K42" i="21" s="1"/>
  <c r="P62" i="21"/>
  <c r="Q62" i="21"/>
  <c r="M40" i="21"/>
  <c r="L40" i="21"/>
  <c r="D41" i="21"/>
  <c r="W61" i="21"/>
  <c r="H43" i="21" l="1"/>
  <c r="J43" i="21" s="1"/>
  <c r="P63" i="21"/>
  <c r="Q63" i="21"/>
  <c r="F41" i="21"/>
  <c r="G41" i="21" s="1"/>
  <c r="W62" i="21"/>
  <c r="K43" i="21" l="1"/>
  <c r="P64" i="21"/>
  <c r="Q64" i="21"/>
  <c r="M41" i="21"/>
  <c r="L41" i="21"/>
  <c r="D42" i="21"/>
  <c r="W63" i="21"/>
  <c r="H44" i="21" l="1"/>
  <c r="J44" i="21" s="1"/>
  <c r="P65" i="21"/>
  <c r="Q65" i="21"/>
  <c r="F42" i="21"/>
  <c r="G42" i="21" s="1"/>
  <c r="W64" i="21"/>
  <c r="K44" i="21" l="1"/>
  <c r="P66" i="21"/>
  <c r="Q66" i="21"/>
  <c r="M42" i="21"/>
  <c r="L42" i="21"/>
  <c r="D43" i="21"/>
  <c r="W65" i="21"/>
  <c r="H45" i="21" l="1"/>
  <c r="J45" i="21" s="1"/>
  <c r="P67" i="21"/>
  <c r="Q67" i="21"/>
  <c r="F43" i="21"/>
  <c r="G43" i="21" s="1"/>
  <c r="W66" i="21"/>
  <c r="K45" i="21" l="1"/>
  <c r="P68" i="21"/>
  <c r="R69" i="21" s="1"/>
  <c r="Q68" i="21"/>
  <c r="M43" i="21"/>
  <c r="L43" i="21"/>
  <c r="D44" i="21"/>
  <c r="W67" i="21"/>
  <c r="H46" i="21" l="1"/>
  <c r="P69" i="21"/>
  <c r="G10" i="27" s="1"/>
  <c r="Q69" i="21"/>
  <c r="H10" i="27" s="1"/>
  <c r="F44" i="21"/>
  <c r="G44" i="21" s="1"/>
  <c r="W68" i="21"/>
  <c r="J46" i="21" l="1"/>
  <c r="K46" i="21" s="1"/>
  <c r="P70" i="21"/>
  <c r="Q70" i="21"/>
  <c r="M44" i="21"/>
  <c r="L44" i="21"/>
  <c r="S45" i="21" s="1"/>
  <c r="D45" i="21"/>
  <c r="W69" i="21"/>
  <c r="I10" i="27" s="1"/>
  <c r="H47" i="21" l="1"/>
  <c r="J47" i="21" s="1"/>
  <c r="T45" i="21"/>
  <c r="V45" i="21" s="1"/>
  <c r="J8" i="27" s="1"/>
  <c r="U57" i="21"/>
  <c r="P71" i="21"/>
  <c r="Q71" i="21"/>
  <c r="F45" i="21"/>
  <c r="G45" i="21" s="1"/>
  <c r="W70" i="21"/>
  <c r="K47" i="21" l="1"/>
  <c r="P72" i="21"/>
  <c r="Q72" i="21"/>
  <c r="M45" i="21"/>
  <c r="L45" i="21"/>
  <c r="E8" i="27" s="1"/>
  <c r="D46" i="21"/>
  <c r="W71" i="21"/>
  <c r="H48" i="21" l="1"/>
  <c r="J48" i="21" s="1"/>
  <c r="P73" i="21"/>
  <c r="Q73" i="21"/>
  <c r="F46" i="21"/>
  <c r="G46" i="21" s="1"/>
  <c r="W72" i="21"/>
  <c r="K48" i="21" l="1"/>
  <c r="P74" i="21"/>
  <c r="Q74" i="21"/>
  <c r="M46" i="21"/>
  <c r="L46" i="21"/>
  <c r="D47" i="21"/>
  <c r="W73" i="21"/>
  <c r="H49" i="21" l="1"/>
  <c r="J49" i="21" s="1"/>
  <c r="P75" i="21"/>
  <c r="Q75" i="21"/>
  <c r="F47" i="21"/>
  <c r="G47" i="21" s="1"/>
  <c r="W74" i="21"/>
  <c r="K49" i="21" l="1"/>
  <c r="P76" i="21"/>
  <c r="Q76" i="21"/>
  <c r="M47" i="21"/>
  <c r="L47" i="21"/>
  <c r="D48" i="21"/>
  <c r="W75" i="21"/>
  <c r="H50" i="21" l="1"/>
  <c r="J50" i="21" s="1"/>
  <c r="P77" i="21"/>
  <c r="Q77" i="21"/>
  <c r="F48" i="21"/>
  <c r="G48" i="21" s="1"/>
  <c r="W76" i="21"/>
  <c r="K50" i="21" l="1"/>
  <c r="P78" i="21"/>
  <c r="Q78" i="21"/>
  <c r="M48" i="21"/>
  <c r="L48" i="21"/>
  <c r="D49" i="21"/>
  <c r="W77" i="21"/>
  <c r="H51" i="21" l="1"/>
  <c r="J51" i="21" s="1"/>
  <c r="P79" i="21"/>
  <c r="Q79" i="21"/>
  <c r="F49" i="21"/>
  <c r="G49" i="21" s="1"/>
  <c r="W78" i="21"/>
  <c r="K51" i="21" l="1"/>
  <c r="P80" i="21"/>
  <c r="R81" i="21" s="1"/>
  <c r="Q80" i="21"/>
  <c r="M49" i="21"/>
  <c r="L49" i="21"/>
  <c r="D50" i="21"/>
  <c r="W79" i="21"/>
  <c r="H52" i="21" l="1"/>
  <c r="P81" i="21"/>
  <c r="G11" i="27" s="1"/>
  <c r="Q81" i="21"/>
  <c r="H11" i="27" s="1"/>
  <c r="F50" i="21"/>
  <c r="G50" i="21" s="1"/>
  <c r="W80" i="21"/>
  <c r="J52" i="21" l="1"/>
  <c r="K52" i="21" s="1"/>
  <c r="P82" i="21"/>
  <c r="Q82" i="21"/>
  <c r="M50" i="21"/>
  <c r="L50" i="21"/>
  <c r="D51" i="21"/>
  <c r="W81" i="21"/>
  <c r="I11" i="27" s="1"/>
  <c r="H53" i="21" l="1"/>
  <c r="J53" i="21" s="1"/>
  <c r="P83" i="21"/>
  <c r="Q83" i="21"/>
  <c r="F51" i="21"/>
  <c r="G51" i="21" s="1"/>
  <c r="W82" i="21"/>
  <c r="K53" i="21" l="1"/>
  <c r="P84" i="21"/>
  <c r="Q84" i="21"/>
  <c r="M51" i="21"/>
  <c r="L51" i="21"/>
  <c r="D52" i="21"/>
  <c r="W83" i="21"/>
  <c r="H54" i="21" l="1"/>
  <c r="J54" i="21" s="1"/>
  <c r="P85" i="21"/>
  <c r="Q85" i="21"/>
  <c r="F52" i="21"/>
  <c r="G52" i="21" s="1"/>
  <c r="W84" i="21"/>
  <c r="K54" i="21" l="1"/>
  <c r="P86" i="21"/>
  <c r="Q86" i="21"/>
  <c r="M52" i="21"/>
  <c r="L52" i="21"/>
  <c r="D53" i="21"/>
  <c r="W85" i="21"/>
  <c r="H55" i="21" l="1"/>
  <c r="J55" i="21" s="1"/>
  <c r="P87" i="21"/>
  <c r="Q87" i="21"/>
  <c r="F53" i="21"/>
  <c r="G53" i="21" s="1"/>
  <c r="W86" i="21"/>
  <c r="K55" i="21" l="1"/>
  <c r="P88" i="21"/>
  <c r="Q88" i="21"/>
  <c r="M53" i="21"/>
  <c r="L53" i="21"/>
  <c r="D54" i="21"/>
  <c r="W87" i="21"/>
  <c r="H56" i="21" l="1"/>
  <c r="J56" i="21" s="1"/>
  <c r="P89" i="21"/>
  <c r="Q89" i="21"/>
  <c r="F54" i="21"/>
  <c r="G54" i="21" s="1"/>
  <c r="W88" i="21"/>
  <c r="K56" i="21" l="1"/>
  <c r="H57" i="21"/>
  <c r="J57" i="21" s="1"/>
  <c r="P90" i="21"/>
  <c r="Q90" i="21"/>
  <c r="M54" i="21"/>
  <c r="L54" i="21"/>
  <c r="D55" i="21"/>
  <c r="W89" i="21"/>
  <c r="K57" i="21" l="1"/>
  <c r="P91" i="21"/>
  <c r="Q91" i="21"/>
  <c r="F55" i="21"/>
  <c r="G55" i="21" s="1"/>
  <c r="W90" i="21"/>
  <c r="H58" i="21" l="1"/>
  <c r="J58" i="21" s="1"/>
  <c r="P92" i="21"/>
  <c r="R93" i="21" s="1"/>
  <c r="Q92" i="21"/>
  <c r="M55" i="21"/>
  <c r="L55" i="21"/>
  <c r="D56" i="21"/>
  <c r="W91" i="21"/>
  <c r="K58" i="21" l="1"/>
  <c r="P93" i="21"/>
  <c r="G12" i="27" s="1"/>
  <c r="Q93" i="21"/>
  <c r="H12" i="27" s="1"/>
  <c r="F56" i="21"/>
  <c r="G56" i="21" s="1"/>
  <c r="W92" i="21"/>
  <c r="H59" i="21" l="1"/>
  <c r="J59" i="21" s="1"/>
  <c r="P94" i="21"/>
  <c r="Q94" i="21"/>
  <c r="M56" i="21"/>
  <c r="L56" i="21"/>
  <c r="S57" i="21" s="1"/>
  <c r="D57" i="21"/>
  <c r="W93" i="21"/>
  <c r="I12" i="27" s="1"/>
  <c r="K59" i="21" l="1"/>
  <c r="T57" i="21"/>
  <c r="U69" i="21"/>
  <c r="P95" i="21"/>
  <c r="Q95" i="21"/>
  <c r="F57" i="21"/>
  <c r="G57" i="21" s="1"/>
  <c r="W94" i="21"/>
  <c r="H60" i="21" l="1"/>
  <c r="J60" i="21" s="1"/>
  <c r="P96" i="21"/>
  <c r="Q96" i="21"/>
  <c r="M57" i="21"/>
  <c r="L57" i="21"/>
  <c r="E9" i="27" s="1"/>
  <c r="D58" i="21"/>
  <c r="W95" i="21"/>
  <c r="K60" i="21" l="1"/>
  <c r="P97" i="21"/>
  <c r="Q97" i="21"/>
  <c r="F58" i="21"/>
  <c r="G58" i="21" s="1"/>
  <c r="W96" i="21"/>
  <c r="H61" i="21" l="1"/>
  <c r="J61" i="21" s="1"/>
  <c r="P98" i="21"/>
  <c r="Q98" i="21"/>
  <c r="M58" i="21"/>
  <c r="L58" i="21"/>
  <c r="D59" i="21"/>
  <c r="W97" i="21"/>
  <c r="K61" i="21" l="1"/>
  <c r="P99" i="21"/>
  <c r="Q99" i="21"/>
  <c r="F59" i="21"/>
  <c r="G59" i="21" s="1"/>
  <c r="W98" i="21"/>
  <c r="H62" i="21" l="1"/>
  <c r="J62" i="21" s="1"/>
  <c r="P100" i="21"/>
  <c r="Q100" i="21"/>
  <c r="M59" i="21"/>
  <c r="L59" i="21"/>
  <c r="D60" i="21"/>
  <c r="W99" i="21"/>
  <c r="K62" i="21" l="1"/>
  <c r="P101" i="21"/>
  <c r="Q101" i="21"/>
  <c r="F60" i="21"/>
  <c r="G60" i="21" s="1"/>
  <c r="W100" i="21"/>
  <c r="H63" i="21" l="1"/>
  <c r="J63" i="21" s="1"/>
  <c r="P102" i="21"/>
  <c r="Q102" i="21"/>
  <c r="M60" i="21"/>
  <c r="L60" i="21"/>
  <c r="D61" i="21"/>
  <c r="W101" i="21"/>
  <c r="K63" i="21" l="1"/>
  <c r="P103" i="21"/>
  <c r="Q103" i="21"/>
  <c r="F61" i="21"/>
  <c r="G61" i="21" s="1"/>
  <c r="W102" i="21"/>
  <c r="H64" i="21" l="1"/>
  <c r="J64" i="21" s="1"/>
  <c r="P104" i="21"/>
  <c r="R105" i="21" s="1"/>
  <c r="Q104" i="21"/>
  <c r="M61" i="21"/>
  <c r="L61" i="21"/>
  <c r="D62" i="21"/>
  <c r="W103" i="21"/>
  <c r="K64" i="21" l="1"/>
  <c r="P105" i="21"/>
  <c r="G13" i="27" s="1"/>
  <c r="Q105" i="21"/>
  <c r="H13" i="27" s="1"/>
  <c r="F62" i="21"/>
  <c r="G62" i="21" s="1"/>
  <c r="W104" i="21"/>
  <c r="H65" i="21" l="1"/>
  <c r="J65" i="21" s="1"/>
  <c r="P106" i="21"/>
  <c r="Q106" i="21"/>
  <c r="M62" i="21"/>
  <c r="L62" i="21"/>
  <c r="D63" i="21"/>
  <c r="W105" i="21"/>
  <c r="I13" i="27" s="1"/>
  <c r="K65" i="21" l="1"/>
  <c r="P107" i="21"/>
  <c r="Q107" i="21"/>
  <c r="F63" i="21"/>
  <c r="G63" i="21" s="1"/>
  <c r="W106" i="21"/>
  <c r="H66" i="21" l="1"/>
  <c r="J66" i="21" s="1"/>
  <c r="P108" i="21"/>
  <c r="Q108" i="21"/>
  <c r="M63" i="21"/>
  <c r="L63" i="21"/>
  <c r="D64" i="21"/>
  <c r="W107" i="21"/>
  <c r="K66" i="21" l="1"/>
  <c r="P109" i="21"/>
  <c r="Q109" i="21"/>
  <c r="F64" i="21"/>
  <c r="G64" i="21" s="1"/>
  <c r="W108" i="21"/>
  <c r="H67" i="21" l="1"/>
  <c r="J67" i="21" s="1"/>
  <c r="P110" i="21"/>
  <c r="Q110" i="21"/>
  <c r="M64" i="21"/>
  <c r="L64" i="21"/>
  <c r="D65" i="21"/>
  <c r="W109" i="21"/>
  <c r="K67" i="21" l="1"/>
  <c r="P111" i="21"/>
  <c r="Q111" i="21"/>
  <c r="F65" i="21"/>
  <c r="G65" i="21" s="1"/>
  <c r="W110" i="21"/>
  <c r="H68" i="21" l="1"/>
  <c r="J68" i="21" s="1"/>
  <c r="K68" i="21" s="1"/>
  <c r="P112" i="21"/>
  <c r="Q112" i="21"/>
  <c r="M65" i="21"/>
  <c r="L65" i="21"/>
  <c r="D66" i="21"/>
  <c r="W111" i="21"/>
  <c r="P113" i="21" l="1"/>
  <c r="Q113" i="21"/>
  <c r="F66" i="21"/>
  <c r="G66" i="21" s="1"/>
  <c r="W112" i="21"/>
  <c r="H69" i="21" l="1"/>
  <c r="P114" i="21"/>
  <c r="Q114" i="21"/>
  <c r="M66" i="21"/>
  <c r="L66" i="21"/>
  <c r="D67" i="21"/>
  <c r="W113" i="21"/>
  <c r="J69" i="21" l="1"/>
  <c r="K69" i="21" s="1"/>
  <c r="P115" i="21"/>
  <c r="Q115" i="21"/>
  <c r="F67" i="21"/>
  <c r="G67" i="21" s="1"/>
  <c r="W114" i="21"/>
  <c r="H70" i="21" l="1"/>
  <c r="J70" i="21" s="1"/>
  <c r="Q116" i="21"/>
  <c r="P116" i="21"/>
  <c r="R117" i="21" s="1"/>
  <c r="M67" i="21"/>
  <c r="L67" i="21"/>
  <c r="D68" i="21"/>
  <c r="W115" i="21"/>
  <c r="K70" i="21" l="1"/>
  <c r="P117" i="21"/>
  <c r="G14" i="27" s="1"/>
  <c r="Q117" i="21"/>
  <c r="H14" i="27" s="1"/>
  <c r="F68" i="21"/>
  <c r="G68" i="21" s="1"/>
  <c r="W116" i="21"/>
  <c r="H71" i="21" l="1"/>
  <c r="J71" i="21" s="1"/>
  <c r="P118" i="21"/>
  <c r="Q118" i="21"/>
  <c r="M68" i="21"/>
  <c r="L68" i="21"/>
  <c r="S69" i="21" s="1"/>
  <c r="D69" i="21"/>
  <c r="W117" i="21"/>
  <c r="I14" i="27" s="1"/>
  <c r="K71" i="21" l="1"/>
  <c r="T69" i="21"/>
  <c r="V69" i="21" s="1"/>
  <c r="U81" i="21"/>
  <c r="P119" i="21"/>
  <c r="Q119" i="21"/>
  <c r="F69" i="21"/>
  <c r="G69" i="21" s="1"/>
  <c r="W118" i="21"/>
  <c r="H72" i="21" l="1"/>
  <c r="J72" i="21" s="1"/>
  <c r="P120" i="21"/>
  <c r="Q120" i="21"/>
  <c r="M69" i="21"/>
  <c r="L69" i="21"/>
  <c r="E10" i="27" s="1"/>
  <c r="D70" i="21"/>
  <c r="W119" i="21"/>
  <c r="K72" i="21" l="1"/>
  <c r="H73" i="21" s="1"/>
  <c r="J73" i="21" s="1"/>
  <c r="P121" i="21"/>
  <c r="Q121" i="21"/>
  <c r="F70" i="21"/>
  <c r="G70" i="21" s="1"/>
  <c r="W120" i="21"/>
  <c r="K73" i="21" l="1"/>
  <c r="H74" i="21" s="1"/>
  <c r="J74" i="21" s="1"/>
  <c r="P122" i="21"/>
  <c r="Q122" i="21"/>
  <c r="M70" i="21"/>
  <c r="L70" i="21"/>
  <c r="D71" i="21"/>
  <c r="W121" i="21"/>
  <c r="K74" i="21" l="1"/>
  <c r="H75" i="21" s="1"/>
  <c r="J75" i="21" s="1"/>
  <c r="P123" i="21"/>
  <c r="Q123" i="21"/>
  <c r="F71" i="21"/>
  <c r="G71" i="21" s="1"/>
  <c r="W122" i="21"/>
  <c r="K75" i="21" l="1"/>
  <c r="P124" i="21"/>
  <c r="Q124" i="21"/>
  <c r="M71" i="21"/>
  <c r="L71" i="21"/>
  <c r="D72" i="21"/>
  <c r="W123" i="21"/>
  <c r="H76" i="21" l="1"/>
  <c r="J76" i="21" s="1"/>
  <c r="K76" i="21" s="1"/>
  <c r="H77" i="21" s="1"/>
  <c r="J77" i="21" s="1"/>
  <c r="P125" i="21"/>
  <c r="Q125" i="21"/>
  <c r="F72" i="21"/>
  <c r="G72" i="21" s="1"/>
  <c r="W124" i="21"/>
  <c r="K77" i="21" l="1"/>
  <c r="H78" i="21" s="1"/>
  <c r="J78" i="21" s="1"/>
  <c r="P126" i="21"/>
  <c r="Q126" i="21"/>
  <c r="M72" i="21"/>
  <c r="L72" i="21"/>
  <c r="D73" i="21"/>
  <c r="W125" i="21"/>
  <c r="K78" i="21" l="1"/>
  <c r="P127" i="21"/>
  <c r="Q127" i="21"/>
  <c r="F73" i="21"/>
  <c r="G73" i="21" s="1"/>
  <c r="W126" i="21"/>
  <c r="H79" i="21" l="1"/>
  <c r="J79" i="21" s="1"/>
  <c r="Q128" i="21"/>
  <c r="P128" i="21"/>
  <c r="R129" i="21" s="1"/>
  <c r="M73" i="21"/>
  <c r="L73" i="21"/>
  <c r="D74" i="21"/>
  <c r="W127" i="21"/>
  <c r="K79" i="21" l="1"/>
  <c r="P129" i="21"/>
  <c r="G15" i="27" s="1"/>
  <c r="Q129" i="21"/>
  <c r="H15" i="27" s="1"/>
  <c r="F74" i="21"/>
  <c r="G74" i="21" s="1"/>
  <c r="W128" i="21"/>
  <c r="H80" i="21" l="1"/>
  <c r="J80" i="21" s="1"/>
  <c r="P130" i="21"/>
  <c r="Q130" i="21"/>
  <c r="M74" i="21"/>
  <c r="L74" i="21"/>
  <c r="D75" i="21"/>
  <c r="W129" i="21"/>
  <c r="I15" i="27" s="1"/>
  <c r="K80" i="21" l="1"/>
  <c r="P131" i="21"/>
  <c r="Q131" i="21"/>
  <c r="F75" i="21"/>
  <c r="G75" i="21" s="1"/>
  <c r="W130" i="21"/>
  <c r="H81" i="21" l="1"/>
  <c r="P132" i="21"/>
  <c r="Q132" i="21"/>
  <c r="M75" i="21"/>
  <c r="L75" i="21"/>
  <c r="D76" i="21"/>
  <c r="W131" i="21"/>
  <c r="J81" i="21" l="1"/>
  <c r="K81" i="21" s="1"/>
  <c r="P133" i="21"/>
  <c r="Q133" i="21"/>
  <c r="F76" i="21"/>
  <c r="G76" i="21" s="1"/>
  <c r="W132" i="21"/>
  <c r="H82" i="21" l="1"/>
  <c r="J82" i="21" s="1"/>
  <c r="P134" i="21"/>
  <c r="Q134" i="21"/>
  <c r="M76" i="21"/>
  <c r="L76" i="21"/>
  <c r="D77" i="21"/>
  <c r="W133" i="21"/>
  <c r="K82" i="21" l="1"/>
  <c r="P135" i="21"/>
  <c r="Q135" i="21"/>
  <c r="F77" i="21"/>
  <c r="G77" i="21" s="1"/>
  <c r="W134" i="21"/>
  <c r="H83" i="21" l="1"/>
  <c r="J83" i="21" s="1"/>
  <c r="P136" i="21"/>
  <c r="Q136" i="21"/>
  <c r="M77" i="21"/>
  <c r="L77" i="21"/>
  <c r="D78" i="21"/>
  <c r="W135" i="21"/>
  <c r="K83" i="21" l="1"/>
  <c r="P137" i="21"/>
  <c r="Q137" i="21"/>
  <c r="F78" i="21"/>
  <c r="G78" i="21" s="1"/>
  <c r="W136" i="21"/>
  <c r="H84" i="21" l="1"/>
  <c r="J84" i="21" s="1"/>
  <c r="P138" i="21"/>
  <c r="Q138" i="21"/>
  <c r="M78" i="21"/>
  <c r="L78" i="21"/>
  <c r="D79" i="21"/>
  <c r="W137" i="21"/>
  <c r="K84" i="21" l="1"/>
  <c r="P139" i="21"/>
  <c r="Q139" i="21"/>
  <c r="F79" i="21"/>
  <c r="G79" i="21" s="1"/>
  <c r="W138" i="21"/>
  <c r="H85" i="21" l="1"/>
  <c r="J85" i="21" s="1"/>
  <c r="Q140" i="21"/>
  <c r="P140" i="21"/>
  <c r="R141" i="21" s="1"/>
  <c r="M79" i="21"/>
  <c r="L79" i="21"/>
  <c r="D80" i="21"/>
  <c r="W139" i="21"/>
  <c r="K85" i="21" l="1"/>
  <c r="P141" i="21"/>
  <c r="G16" i="27" s="1"/>
  <c r="Q141" i="21"/>
  <c r="F80" i="21"/>
  <c r="G80" i="21" s="1"/>
  <c r="W140" i="21"/>
  <c r="H16" i="27"/>
  <c r="H86" i="21" l="1"/>
  <c r="J86" i="21" s="1"/>
  <c r="P142" i="21"/>
  <c r="Q142" i="21"/>
  <c r="M80" i="21"/>
  <c r="L80" i="21"/>
  <c r="S81" i="21" s="1"/>
  <c r="D81" i="21"/>
  <c r="W141" i="21"/>
  <c r="I16" i="27" s="1"/>
  <c r="K86" i="21" l="1"/>
  <c r="T81" i="21"/>
  <c r="V81" i="21" s="1"/>
  <c r="U93" i="21"/>
  <c r="P143" i="21"/>
  <c r="Q143" i="21"/>
  <c r="F81" i="21"/>
  <c r="G81" i="21" s="1"/>
  <c r="W142" i="21"/>
  <c r="H87" i="21" l="1"/>
  <c r="J87" i="21" s="1"/>
  <c r="P144" i="21"/>
  <c r="Q144" i="21"/>
  <c r="M81" i="21"/>
  <c r="L81" i="21"/>
  <c r="E11" i="27" s="1"/>
  <c r="D82" i="21"/>
  <c r="W143" i="21"/>
  <c r="K87" i="21" l="1"/>
  <c r="P145" i="21"/>
  <c r="Q145" i="21"/>
  <c r="F82" i="21"/>
  <c r="G82" i="21" s="1"/>
  <c r="W144" i="21"/>
  <c r="H88" i="21" l="1"/>
  <c r="J88" i="21" s="1"/>
  <c r="P146" i="21"/>
  <c r="Q146" i="21"/>
  <c r="M82" i="21"/>
  <c r="L82" i="21"/>
  <c r="D83" i="21"/>
  <c r="W145" i="21"/>
  <c r="K88" i="21" l="1"/>
  <c r="P147" i="21"/>
  <c r="Q147" i="21"/>
  <c r="F83" i="21"/>
  <c r="G83" i="21" s="1"/>
  <c r="W146" i="21"/>
  <c r="H89" i="21" l="1"/>
  <c r="J89" i="21" s="1"/>
  <c r="K89" i="21" s="1"/>
  <c r="P148" i="21"/>
  <c r="Q148" i="21"/>
  <c r="M83" i="21"/>
  <c r="L83" i="21"/>
  <c r="D84" i="21"/>
  <c r="W147" i="21"/>
  <c r="P149" i="21" l="1"/>
  <c r="Q149" i="21"/>
  <c r="F84" i="21"/>
  <c r="G84" i="21" s="1"/>
  <c r="W148" i="21"/>
  <c r="H90" i="21" l="1"/>
  <c r="P150" i="21"/>
  <c r="Q150" i="21"/>
  <c r="M84" i="21"/>
  <c r="L84" i="21"/>
  <c r="D85" i="21"/>
  <c r="W149" i="21"/>
  <c r="J90" i="21" l="1"/>
  <c r="K90" i="21" s="1"/>
  <c r="P151" i="21"/>
  <c r="Q151" i="21"/>
  <c r="F85" i="21"/>
  <c r="G85" i="21" s="1"/>
  <c r="W150" i="21"/>
  <c r="H91" i="21" l="1"/>
  <c r="J91" i="21" s="1"/>
  <c r="Q152" i="21"/>
  <c r="P152" i="21"/>
  <c r="R153" i="21" s="1"/>
  <c r="M85" i="21"/>
  <c r="L85" i="21"/>
  <c r="D86" i="21"/>
  <c r="W151" i="21"/>
  <c r="K91" i="21" l="1"/>
  <c r="H92" i="21" s="1"/>
  <c r="J92" i="21" s="1"/>
  <c r="P153" i="21"/>
  <c r="G17" i="27" s="1"/>
  <c r="Q153" i="21"/>
  <c r="F86" i="21"/>
  <c r="G86" i="21" s="1"/>
  <c r="W152" i="21"/>
  <c r="H17" i="27"/>
  <c r="K92" i="21" l="1"/>
  <c r="H93" i="21" s="1"/>
  <c r="J93" i="21" s="1"/>
  <c r="K93" i="21"/>
  <c r="P154" i="21"/>
  <c r="Q154" i="21"/>
  <c r="M86" i="21"/>
  <c r="L86" i="21"/>
  <c r="D87" i="21"/>
  <c r="W153" i="21"/>
  <c r="I17" i="27" s="1"/>
  <c r="H94" i="21" l="1"/>
  <c r="J94" i="21" s="1"/>
  <c r="K94" i="21" s="1"/>
  <c r="P155" i="21"/>
  <c r="Q155" i="21"/>
  <c r="F87" i="21"/>
  <c r="G87" i="21"/>
  <c r="W154" i="21"/>
  <c r="H95" i="21" l="1"/>
  <c r="J95" i="21" s="1"/>
  <c r="P156" i="21"/>
  <c r="Q156" i="21"/>
  <c r="M87" i="21"/>
  <c r="L87" i="21"/>
  <c r="D88" i="21"/>
  <c r="W155" i="21"/>
  <c r="K95" i="21" l="1"/>
  <c r="H96" i="21" s="1"/>
  <c r="J96" i="21" s="1"/>
  <c r="P157" i="21"/>
  <c r="Q157" i="21"/>
  <c r="F88" i="21"/>
  <c r="G88" i="21" s="1"/>
  <c r="W156" i="21"/>
  <c r="K96" i="21" l="1"/>
  <c r="H97" i="21"/>
  <c r="J97" i="21" s="1"/>
  <c r="P158" i="21"/>
  <c r="Q158" i="21"/>
  <c r="M88" i="21"/>
  <c r="L88" i="21"/>
  <c r="D89" i="21"/>
  <c r="W157" i="21"/>
  <c r="K97" i="21" l="1"/>
  <c r="P159" i="21"/>
  <c r="Q159" i="21"/>
  <c r="F89" i="21"/>
  <c r="G89" i="21" s="1"/>
  <c r="W158" i="21"/>
  <c r="H98" i="21" l="1"/>
  <c r="J98" i="21" s="1"/>
  <c r="P160" i="21"/>
  <c r="Q160" i="21"/>
  <c r="M89" i="21"/>
  <c r="L89" i="21"/>
  <c r="D90" i="21"/>
  <c r="W159" i="21"/>
  <c r="K98" i="21" l="1"/>
  <c r="P161" i="21"/>
  <c r="Q161" i="21"/>
  <c r="F90" i="21"/>
  <c r="G90" i="21" s="1"/>
  <c r="W160" i="21"/>
  <c r="H99" i="21" l="1"/>
  <c r="J99" i="21" s="1"/>
  <c r="P162" i="21"/>
  <c r="Q162" i="21"/>
  <c r="M90" i="21"/>
  <c r="L90" i="21"/>
  <c r="D91" i="21"/>
  <c r="W161" i="21"/>
  <c r="K99" i="21" l="1"/>
  <c r="H100" i="21" s="1"/>
  <c r="J100" i="21" s="1"/>
  <c r="P163" i="21"/>
  <c r="Q163" i="21"/>
  <c r="F91" i="21"/>
  <c r="G91" i="21" s="1"/>
  <c r="W162" i="21"/>
  <c r="K100" i="21" l="1"/>
  <c r="H101" i="21" s="1"/>
  <c r="J101" i="21" s="1"/>
  <c r="Q164" i="21"/>
  <c r="P164" i="21"/>
  <c r="R165" i="21" s="1"/>
  <c r="M91" i="21"/>
  <c r="L91" i="21"/>
  <c r="D92" i="21"/>
  <c r="W163" i="21"/>
  <c r="K101" i="21" l="1"/>
  <c r="P165" i="21"/>
  <c r="G18" i="27" s="1"/>
  <c r="Q165" i="21"/>
  <c r="H18" i="27" s="1"/>
  <c r="F92" i="21"/>
  <c r="G92" i="21" s="1"/>
  <c r="W164" i="21"/>
  <c r="H102" i="21" l="1"/>
  <c r="J102" i="21" s="1"/>
  <c r="P166" i="21"/>
  <c r="Q166" i="21"/>
  <c r="M92" i="21"/>
  <c r="L92" i="21"/>
  <c r="S93" i="21" s="1"/>
  <c r="D93" i="21"/>
  <c r="W165" i="21"/>
  <c r="I18" i="27" s="1"/>
  <c r="K102" i="21" l="1"/>
  <c r="T93" i="21"/>
  <c r="V93" i="21" s="1"/>
  <c r="U105" i="21"/>
  <c r="P167" i="21"/>
  <c r="Q167" i="21"/>
  <c r="F93" i="21"/>
  <c r="G93" i="21" s="1"/>
  <c r="W166" i="21"/>
  <c r="H103" i="21" l="1"/>
  <c r="J103" i="21" s="1"/>
  <c r="P168" i="21"/>
  <c r="Q168" i="21"/>
  <c r="M93" i="21"/>
  <c r="L93" i="21"/>
  <c r="E12" i="27" s="1"/>
  <c r="D94" i="21"/>
  <c r="W167" i="21"/>
  <c r="K103" i="21" l="1"/>
  <c r="H104" i="21"/>
  <c r="J104" i="21" s="1"/>
  <c r="P169" i="21"/>
  <c r="Q169" i="21"/>
  <c r="F94" i="21"/>
  <c r="G94" i="21" s="1"/>
  <c r="W168" i="21"/>
  <c r="K104" i="21" l="1"/>
  <c r="P170" i="21"/>
  <c r="Q170" i="21"/>
  <c r="M94" i="21"/>
  <c r="L94" i="21"/>
  <c r="D95" i="21"/>
  <c r="W169" i="21"/>
  <c r="H105" i="21" l="1"/>
  <c r="J105" i="21" s="1"/>
  <c r="P171" i="21"/>
  <c r="Q171" i="21"/>
  <c r="F95" i="21"/>
  <c r="G95" i="21" s="1"/>
  <c r="W170" i="21"/>
  <c r="K105" i="21" l="1"/>
  <c r="P172" i="21"/>
  <c r="Q172" i="21"/>
  <c r="M95" i="21"/>
  <c r="L95" i="21"/>
  <c r="D96" i="21"/>
  <c r="W171" i="21"/>
  <c r="H106" i="21" l="1"/>
  <c r="J106" i="21" s="1"/>
  <c r="K106" i="21" s="1"/>
  <c r="P173" i="21"/>
  <c r="Q173" i="21"/>
  <c r="F96" i="21"/>
  <c r="G96" i="21" s="1"/>
  <c r="W172" i="21"/>
  <c r="P174" i="21" l="1"/>
  <c r="Q174" i="21"/>
  <c r="M96" i="21"/>
  <c r="L96" i="21"/>
  <c r="D97" i="21"/>
  <c r="W173" i="21"/>
  <c r="H107" i="21" l="1"/>
  <c r="P175" i="21"/>
  <c r="Q175" i="21"/>
  <c r="F97" i="21"/>
  <c r="G97" i="21" s="1"/>
  <c r="W174" i="21"/>
  <c r="J107" i="21" l="1"/>
  <c r="K107" i="21" s="1"/>
  <c r="Q176" i="21"/>
  <c r="P176" i="21"/>
  <c r="R177" i="21" s="1"/>
  <c r="M97" i="21"/>
  <c r="L97" i="21"/>
  <c r="D98" i="21"/>
  <c r="W175" i="21"/>
  <c r="H108" i="21" l="1"/>
  <c r="J108" i="21" s="1"/>
  <c r="P177" i="21"/>
  <c r="G19" i="27" s="1"/>
  <c r="Q177" i="21"/>
  <c r="H19" i="27" s="1"/>
  <c r="F98" i="21"/>
  <c r="G98" i="21" s="1"/>
  <c r="W176" i="21"/>
  <c r="K108" i="21" l="1"/>
  <c r="H109" i="21" s="1"/>
  <c r="J109" i="21" s="1"/>
  <c r="P178" i="21"/>
  <c r="Q178" i="21"/>
  <c r="M98" i="21"/>
  <c r="L98" i="21"/>
  <c r="D99" i="21"/>
  <c r="W177" i="21"/>
  <c r="I19" i="27" s="1"/>
  <c r="K109" i="21" l="1"/>
  <c r="P179" i="21"/>
  <c r="Q179" i="21"/>
  <c r="F99" i="21"/>
  <c r="G99" i="21" s="1"/>
  <c r="W178" i="21"/>
  <c r="H110" i="21" l="1"/>
  <c r="J110" i="21" s="1"/>
  <c r="K110" i="21" s="1"/>
  <c r="H111" i="21" s="1"/>
  <c r="J111" i="21" s="1"/>
  <c r="P180" i="21"/>
  <c r="Q180" i="21"/>
  <c r="M99" i="21"/>
  <c r="L99" i="21"/>
  <c r="D100" i="21"/>
  <c r="W179" i="21"/>
  <c r="K111" i="21" l="1"/>
  <c r="H112" i="21" s="1"/>
  <c r="J112" i="21" s="1"/>
  <c r="P181" i="21"/>
  <c r="Q181" i="21"/>
  <c r="F100" i="21"/>
  <c r="G100" i="21" s="1"/>
  <c r="W180" i="21"/>
  <c r="K112" i="21" l="1"/>
  <c r="P182" i="21"/>
  <c r="Q182" i="21"/>
  <c r="M100" i="21"/>
  <c r="L100" i="21"/>
  <c r="D101" i="21"/>
  <c r="W181" i="21"/>
  <c r="H113" i="21" l="1"/>
  <c r="J113" i="21" s="1"/>
  <c r="K113" i="21" s="1"/>
  <c r="P183" i="21"/>
  <c r="Q183" i="21"/>
  <c r="F101" i="21"/>
  <c r="G101" i="21" s="1"/>
  <c r="W182" i="21"/>
  <c r="P184" i="21" l="1"/>
  <c r="Q184" i="21"/>
  <c r="M101" i="21"/>
  <c r="L101" i="21"/>
  <c r="D102" i="21"/>
  <c r="W183" i="21"/>
  <c r="H114" i="21" l="1"/>
  <c r="P185" i="21"/>
  <c r="Q185" i="21"/>
  <c r="F102" i="21"/>
  <c r="G102" i="21" s="1"/>
  <c r="W184" i="21"/>
  <c r="J114" i="21" l="1"/>
  <c r="K114" i="21" s="1"/>
  <c r="H115" i="21" s="1"/>
  <c r="J115" i="21" s="1"/>
  <c r="P186" i="21"/>
  <c r="Q186" i="21"/>
  <c r="M102" i="21"/>
  <c r="L102" i="21"/>
  <c r="D103" i="21"/>
  <c r="W185" i="21"/>
  <c r="K115" i="21" l="1"/>
  <c r="P187" i="21"/>
  <c r="Q187" i="21"/>
  <c r="F103" i="21"/>
  <c r="G103" i="21" s="1"/>
  <c r="W186" i="21"/>
  <c r="H116" i="21" l="1"/>
  <c r="J116" i="21" s="1"/>
  <c r="Q188" i="21"/>
  <c r="P188" i="21"/>
  <c r="R189" i="21" s="1"/>
  <c r="M103" i="21"/>
  <c r="L103" i="21"/>
  <c r="D104" i="21"/>
  <c r="W187" i="21"/>
  <c r="K116" i="21" l="1"/>
  <c r="H117" i="21" s="1"/>
  <c r="J117" i="21" s="1"/>
  <c r="K117" i="21" s="1"/>
  <c r="H118" i="21" s="1"/>
  <c r="J118" i="21" s="1"/>
  <c r="P189" i="21"/>
  <c r="G20" i="27" s="1"/>
  <c r="Q189" i="21"/>
  <c r="F104" i="21"/>
  <c r="G104" i="21" s="1"/>
  <c r="W188" i="21"/>
  <c r="H20" i="27"/>
  <c r="K118" i="21" l="1"/>
  <c r="H119" i="21" s="1"/>
  <c r="J119" i="21" s="1"/>
  <c r="P190" i="21"/>
  <c r="Q190" i="21"/>
  <c r="M104" i="21"/>
  <c r="L104" i="21"/>
  <c r="S105" i="21" s="1"/>
  <c r="D105" i="21"/>
  <c r="W189" i="21"/>
  <c r="I20" i="27" s="1"/>
  <c r="K119" i="21" l="1"/>
  <c r="H120" i="21" s="1"/>
  <c r="J120" i="21" s="1"/>
  <c r="T105" i="21"/>
  <c r="V105" i="21" s="1"/>
  <c r="U117" i="21"/>
  <c r="P191" i="21"/>
  <c r="Q191" i="21"/>
  <c r="F105" i="21"/>
  <c r="G105" i="21" s="1"/>
  <c r="W190" i="21"/>
  <c r="K120" i="21" l="1"/>
  <c r="P192" i="21"/>
  <c r="Q192" i="21"/>
  <c r="M105" i="21"/>
  <c r="L105" i="21"/>
  <c r="E13" i="27" s="1"/>
  <c r="D106" i="21"/>
  <c r="W191" i="21"/>
  <c r="H121" i="21" l="1"/>
  <c r="J121" i="21" s="1"/>
  <c r="K121" i="21" s="1"/>
  <c r="P193" i="21"/>
  <c r="Q193" i="21"/>
  <c r="F106" i="21"/>
  <c r="G106" i="21" s="1"/>
  <c r="W192" i="21"/>
  <c r="H122" i="21" l="1"/>
  <c r="J122" i="21" s="1"/>
  <c r="P194" i="21"/>
  <c r="Q194" i="21"/>
  <c r="M106" i="21"/>
  <c r="L106" i="21"/>
  <c r="D107" i="21"/>
  <c r="W193" i="21"/>
  <c r="K122" i="21" l="1"/>
  <c r="H123" i="21" s="1"/>
  <c r="J123" i="21" s="1"/>
  <c r="P195" i="21"/>
  <c r="Q195" i="21"/>
  <c r="F107" i="21"/>
  <c r="G107" i="21" s="1"/>
  <c r="W194" i="21"/>
  <c r="K123" i="21" l="1"/>
  <c r="P196" i="21"/>
  <c r="Q196" i="21"/>
  <c r="M107" i="21"/>
  <c r="L107" i="21"/>
  <c r="D108" i="21"/>
  <c r="W195" i="21"/>
  <c r="H124" i="21" l="1"/>
  <c r="J124" i="21" s="1"/>
  <c r="K124" i="21" s="1"/>
  <c r="P197" i="21"/>
  <c r="Q197" i="21"/>
  <c r="F108" i="21"/>
  <c r="G108" i="21" s="1"/>
  <c r="W196" i="21"/>
  <c r="P198" i="21" l="1"/>
  <c r="Q198" i="21"/>
  <c r="M108" i="21"/>
  <c r="L108" i="21"/>
  <c r="D109" i="21"/>
  <c r="W197" i="21"/>
  <c r="H125" i="21" l="1"/>
  <c r="P199" i="21"/>
  <c r="Q199" i="21"/>
  <c r="F109" i="21"/>
  <c r="G109" i="21" s="1"/>
  <c r="W198" i="21"/>
  <c r="J125" i="21" l="1"/>
  <c r="K125" i="21" s="1"/>
  <c r="Q200" i="21"/>
  <c r="P200" i="21"/>
  <c r="R201" i="21" s="1"/>
  <c r="M109" i="21"/>
  <c r="L109" i="21"/>
  <c r="D110" i="21"/>
  <c r="W199" i="21"/>
  <c r="H126" i="21" l="1"/>
  <c r="J126" i="21" s="1"/>
  <c r="P201" i="21"/>
  <c r="G21" i="27" s="1"/>
  <c r="Q201" i="21"/>
  <c r="F110" i="21"/>
  <c r="G110" i="21" s="1"/>
  <c r="W200" i="21"/>
  <c r="H21" i="27"/>
  <c r="K126" i="21" l="1"/>
  <c r="P202" i="21"/>
  <c r="Q202" i="21"/>
  <c r="M110" i="21"/>
  <c r="L110" i="21"/>
  <c r="D111" i="21"/>
  <c r="W201" i="21"/>
  <c r="I21" i="27" s="1"/>
  <c r="H127" i="21" l="1"/>
  <c r="J127" i="21" s="1"/>
  <c r="P203" i="21"/>
  <c r="Q203" i="21"/>
  <c r="F111" i="21"/>
  <c r="G111" i="21" s="1"/>
  <c r="W202" i="21"/>
  <c r="K127" i="21" l="1"/>
  <c r="P204" i="21"/>
  <c r="Q204" i="21"/>
  <c r="M111" i="21"/>
  <c r="L111" i="21"/>
  <c r="D112" i="21"/>
  <c r="W203" i="21"/>
  <c r="H128" i="21" l="1"/>
  <c r="J128" i="21" s="1"/>
  <c r="P205" i="21"/>
  <c r="Q205" i="21"/>
  <c r="F112" i="21"/>
  <c r="G112" i="21" s="1"/>
  <c r="W204" i="21"/>
  <c r="K128" i="21" l="1"/>
  <c r="K129" i="21" s="1"/>
  <c r="K130" i="21" s="1"/>
  <c r="K131" i="21" s="1"/>
  <c r="K132" i="21" s="1"/>
  <c r="K133" i="21" s="1"/>
  <c r="K134" i="21" s="1"/>
  <c r="K135" i="21" s="1"/>
  <c r="K136" i="21" s="1"/>
  <c r="K137" i="21" s="1"/>
  <c r="K138" i="21" s="1"/>
  <c r="K139" i="21" s="1"/>
  <c r="K140" i="21" s="1"/>
  <c r="K141" i="21" s="1"/>
  <c r="K142" i="21" s="1"/>
  <c r="K143" i="21" s="1"/>
  <c r="K144" i="21" s="1"/>
  <c r="K145" i="21" s="1"/>
  <c r="K146" i="21" s="1"/>
  <c r="K147" i="21" s="1"/>
  <c r="K148" i="21" s="1"/>
  <c r="K149" i="21" s="1"/>
  <c r="K150" i="21" s="1"/>
  <c r="K151" i="21" s="1"/>
  <c r="K152" i="21" s="1"/>
  <c r="K153" i="21" s="1"/>
  <c r="K154" i="21" s="1"/>
  <c r="K155" i="21" s="1"/>
  <c r="K156" i="21" s="1"/>
  <c r="K157" i="21" s="1"/>
  <c r="K158" i="21" s="1"/>
  <c r="K159" i="21" s="1"/>
  <c r="K160" i="21" s="1"/>
  <c r="K161" i="21" s="1"/>
  <c r="K162" i="21" s="1"/>
  <c r="K163" i="21" s="1"/>
  <c r="K164" i="21" s="1"/>
  <c r="K165" i="21" s="1"/>
  <c r="K166" i="21" s="1"/>
  <c r="K167" i="21" s="1"/>
  <c r="K168" i="21" s="1"/>
  <c r="K169" i="21" s="1"/>
  <c r="K170" i="21" s="1"/>
  <c r="K171" i="21" s="1"/>
  <c r="K172" i="21" s="1"/>
  <c r="K173" i="21" s="1"/>
  <c r="K174" i="21" s="1"/>
  <c r="K175" i="21" s="1"/>
  <c r="K176" i="21" s="1"/>
  <c r="K177" i="21" s="1"/>
  <c r="K178" i="21" s="1"/>
  <c r="K179" i="21" s="1"/>
  <c r="K180" i="21" s="1"/>
  <c r="K181" i="21" s="1"/>
  <c r="K182" i="21" s="1"/>
  <c r="K183" i="21" s="1"/>
  <c r="K184" i="21" s="1"/>
  <c r="K185" i="21" s="1"/>
  <c r="K186" i="21" s="1"/>
  <c r="K187" i="21" s="1"/>
  <c r="K188" i="21" s="1"/>
  <c r="K189" i="21" s="1"/>
  <c r="K190" i="21" s="1"/>
  <c r="K191" i="21" s="1"/>
  <c r="K192" i="21" s="1"/>
  <c r="K193" i="21" s="1"/>
  <c r="K194" i="21" s="1"/>
  <c r="K195" i="21" s="1"/>
  <c r="K196" i="21" s="1"/>
  <c r="K197" i="21" s="1"/>
  <c r="K198" i="21" s="1"/>
  <c r="K199" i="21" s="1"/>
  <c r="K200" i="21" s="1"/>
  <c r="K201" i="21" s="1"/>
  <c r="K202" i="21" s="1"/>
  <c r="K203" i="21" s="1"/>
  <c r="K204" i="21" s="1"/>
  <c r="K205" i="21" s="1"/>
  <c r="K206" i="21" s="1"/>
  <c r="K207" i="21" s="1"/>
  <c r="K208" i="21" s="1"/>
  <c r="K209" i="21" s="1"/>
  <c r="K210" i="21" s="1"/>
  <c r="K211" i="21" s="1"/>
  <c r="K212" i="21" s="1"/>
  <c r="K213" i="21" s="1"/>
  <c r="K214" i="21" s="1"/>
  <c r="K215" i="21" s="1"/>
  <c r="K216" i="21" s="1"/>
  <c r="K217" i="21" s="1"/>
  <c r="K218" i="21" s="1"/>
  <c r="K219" i="21" s="1"/>
  <c r="K220" i="21" s="1"/>
  <c r="K221" i="21" s="1"/>
  <c r="K222" i="21" s="1"/>
  <c r="K223" i="21" s="1"/>
  <c r="K224" i="21" s="1"/>
  <c r="K225" i="21" s="1"/>
  <c r="K226" i="21" s="1"/>
  <c r="K227" i="21" s="1"/>
  <c r="K228" i="21" s="1"/>
  <c r="K229" i="21" s="1"/>
  <c r="K230" i="21" s="1"/>
  <c r="K231" i="21" s="1"/>
  <c r="K232" i="21" s="1"/>
  <c r="K233" i="21" s="1"/>
  <c r="K234" i="21" s="1"/>
  <c r="K235" i="21" s="1"/>
  <c r="K236" i="21" s="1"/>
  <c r="K237" i="21" s="1"/>
  <c r="K238" i="21" s="1"/>
  <c r="K239" i="21" s="1"/>
  <c r="K240" i="21" s="1"/>
  <c r="K241" i="21" s="1"/>
  <c r="K242" i="21" s="1"/>
  <c r="K243" i="21" s="1"/>
  <c r="K244" i="21" s="1"/>
  <c r="K245" i="21" s="1"/>
  <c r="K246" i="21" s="1"/>
  <c r="K247" i="21" s="1"/>
  <c r="K248" i="21" s="1"/>
  <c r="K249" i="21" s="1"/>
  <c r="K250" i="21" s="1"/>
  <c r="K251" i="21" s="1"/>
  <c r="K252" i="21" s="1"/>
  <c r="K253" i="21" s="1"/>
  <c r="K254" i="21" s="1"/>
  <c r="K255" i="21" s="1"/>
  <c r="K256" i="21" s="1"/>
  <c r="K257" i="21" s="1"/>
  <c r="K258" i="21" s="1"/>
  <c r="K259" i="21" s="1"/>
  <c r="K260" i="21" s="1"/>
  <c r="K261" i="21" s="1"/>
  <c r="K262" i="21" s="1"/>
  <c r="K263" i="21" s="1"/>
  <c r="K264" i="21" s="1"/>
  <c r="K265" i="21" s="1"/>
  <c r="K266" i="21" s="1"/>
  <c r="K267" i="21" s="1"/>
  <c r="K268" i="21" s="1"/>
  <c r="K269" i="21" s="1"/>
  <c r="K270" i="21" s="1"/>
  <c r="K271" i="21" s="1"/>
  <c r="K272" i="21" s="1"/>
  <c r="K273" i="21" s="1"/>
  <c r="K274" i="21" s="1"/>
  <c r="K275" i="21" s="1"/>
  <c r="K276" i="21" s="1"/>
  <c r="K277" i="21" s="1"/>
  <c r="K278" i="21" s="1"/>
  <c r="K279" i="21" s="1"/>
  <c r="K280" i="21" s="1"/>
  <c r="K281" i="21" s="1"/>
  <c r="K282" i="21" s="1"/>
  <c r="K283" i="21" s="1"/>
  <c r="K284" i="21" s="1"/>
  <c r="K285" i="21" s="1"/>
  <c r="K286" i="21" s="1"/>
  <c r="K287" i="21" s="1"/>
  <c r="K288" i="21" s="1"/>
  <c r="K289" i="21" s="1"/>
  <c r="K290" i="21" s="1"/>
  <c r="K291" i="21" s="1"/>
  <c r="K292" i="21" s="1"/>
  <c r="K293" i="21" s="1"/>
  <c r="K294" i="21" s="1"/>
  <c r="K295" i="21" s="1"/>
  <c r="K296" i="21" s="1"/>
  <c r="K297" i="21" s="1"/>
  <c r="K298" i="21" s="1"/>
  <c r="K299" i="21" s="1"/>
  <c r="K300" i="21" s="1"/>
  <c r="K301" i="21" s="1"/>
  <c r="K302" i="21" s="1"/>
  <c r="K303" i="21" s="1"/>
  <c r="K304" i="21" s="1"/>
  <c r="K305" i="21" s="1"/>
  <c r="K306" i="21" s="1"/>
  <c r="K307" i="21" s="1"/>
  <c r="K308" i="21" s="1"/>
  <c r="K309" i="21" s="1"/>
  <c r="K310" i="21" s="1"/>
  <c r="K311" i="21" s="1"/>
  <c r="K312" i="21" s="1"/>
  <c r="K313" i="21" s="1"/>
  <c r="K314" i="21" s="1"/>
  <c r="K315" i="21" s="1"/>
  <c r="K316" i="21" s="1"/>
  <c r="K317" i="21" s="1"/>
  <c r="K318" i="21" s="1"/>
  <c r="K319" i="21" s="1"/>
  <c r="K320" i="21" s="1"/>
  <c r="K321" i="21" s="1"/>
  <c r="K322" i="21" s="1"/>
  <c r="K323" i="21" s="1"/>
  <c r="K324" i="21" s="1"/>
  <c r="K325" i="21" s="1"/>
  <c r="K326" i="21" s="1"/>
  <c r="K327" i="21" s="1"/>
  <c r="K328" i="21" s="1"/>
  <c r="K329" i="21" s="1"/>
  <c r="K330" i="21" s="1"/>
  <c r="K331" i="21" s="1"/>
  <c r="K332" i="21" s="1"/>
  <c r="K333" i="21" s="1"/>
  <c r="K334" i="21" s="1"/>
  <c r="K335" i="21" s="1"/>
  <c r="K336" i="21" s="1"/>
  <c r="K337" i="21" s="1"/>
  <c r="K338" i="21" s="1"/>
  <c r="K339" i="21" s="1"/>
  <c r="K340" i="21" s="1"/>
  <c r="K341" i="21" s="1"/>
  <c r="K342" i="21" s="1"/>
  <c r="K343" i="21" s="1"/>
  <c r="K344" i="21" s="1"/>
  <c r="K345" i="21" s="1"/>
  <c r="K346" i="21" s="1"/>
  <c r="K347" i="21" s="1"/>
  <c r="K348" i="21" s="1"/>
  <c r="K349" i="21" s="1"/>
  <c r="K350" i="21" s="1"/>
  <c r="K351" i="21" s="1"/>
  <c r="K352" i="21" s="1"/>
  <c r="K353" i="21" s="1"/>
  <c r="K354" i="21" s="1"/>
  <c r="K355" i="21" s="1"/>
  <c r="K356" i="21" s="1"/>
  <c r="K357" i="21" s="1"/>
  <c r="K358" i="21" s="1"/>
  <c r="K359" i="21" s="1"/>
  <c r="K360" i="21" s="1"/>
  <c r="K361" i="21" s="1"/>
  <c r="K362" i="21" s="1"/>
  <c r="K363" i="21" s="1"/>
  <c r="P206" i="21"/>
  <c r="Q206" i="21"/>
  <c r="M112" i="21"/>
  <c r="L112" i="21"/>
  <c r="D113" i="21"/>
  <c r="W205" i="21"/>
  <c r="H129" i="21" l="1"/>
  <c r="J129" i="21" s="1"/>
  <c r="P207" i="21"/>
  <c r="Q207" i="21"/>
  <c r="F113" i="21"/>
  <c r="G113" i="21" s="1"/>
  <c r="W206" i="21"/>
  <c r="P208" i="21" l="1"/>
  <c r="Q208" i="21"/>
  <c r="M113" i="21"/>
  <c r="L113" i="21"/>
  <c r="D114" i="21"/>
  <c r="W207" i="21"/>
  <c r="H131" i="21" l="1"/>
  <c r="J131" i="21" s="1"/>
  <c r="H130" i="21"/>
  <c r="J130" i="21" s="1"/>
  <c r="P209" i="21"/>
  <c r="Q209" i="21"/>
  <c r="F114" i="21"/>
  <c r="G114" i="21" s="1"/>
  <c r="W208" i="21"/>
  <c r="H132" i="21" l="1"/>
  <c r="J132" i="21" s="1"/>
  <c r="P210" i="21"/>
  <c r="Q210" i="21"/>
  <c r="M114" i="21"/>
  <c r="L114" i="21"/>
  <c r="D115" i="21"/>
  <c r="W209" i="21"/>
  <c r="H133" i="21" l="1"/>
  <c r="J133" i="21" s="1"/>
  <c r="P211" i="21"/>
  <c r="Q211" i="21"/>
  <c r="F115" i="21"/>
  <c r="G115" i="21" s="1"/>
  <c r="W210" i="21"/>
  <c r="H134" i="21" l="1"/>
  <c r="J134" i="21" s="1"/>
  <c r="Q212" i="21"/>
  <c r="P212" i="21"/>
  <c r="R213" i="21" s="1"/>
  <c r="M115" i="21"/>
  <c r="L115" i="21"/>
  <c r="D116" i="21"/>
  <c r="W211" i="21"/>
  <c r="H135" i="21" l="1"/>
  <c r="J135" i="21" s="1"/>
  <c r="P213" i="21"/>
  <c r="G22" i="27" s="1"/>
  <c r="Q213" i="21"/>
  <c r="H22" i="27" s="1"/>
  <c r="F116" i="21"/>
  <c r="G116" i="21" s="1"/>
  <c r="W212" i="21"/>
  <c r="H136" i="21" l="1"/>
  <c r="J136" i="21" s="1"/>
  <c r="P214" i="21"/>
  <c r="Q214" i="21"/>
  <c r="M116" i="21"/>
  <c r="L116" i="21"/>
  <c r="S117" i="21" s="1"/>
  <c r="D117" i="21"/>
  <c r="W213" i="21"/>
  <c r="I22" i="27" s="1"/>
  <c r="H137" i="21" l="1"/>
  <c r="J137" i="21" s="1"/>
  <c r="T117" i="21"/>
  <c r="V117" i="21" s="1"/>
  <c r="U129" i="21"/>
  <c r="P215" i="21"/>
  <c r="Q215" i="21"/>
  <c r="F117" i="21"/>
  <c r="G117" i="21" s="1"/>
  <c r="W214" i="21"/>
  <c r="H138" i="21" l="1"/>
  <c r="J138" i="21" s="1"/>
  <c r="P216" i="21"/>
  <c r="Q216" i="21"/>
  <c r="M117" i="21"/>
  <c r="L117" i="21"/>
  <c r="E14" i="27" s="1"/>
  <c r="D118" i="21"/>
  <c r="W215" i="21"/>
  <c r="H139" i="21" l="1"/>
  <c r="J139" i="21" s="1"/>
  <c r="P217" i="21"/>
  <c r="Q217" i="21"/>
  <c r="F118" i="21"/>
  <c r="G118" i="21" s="1"/>
  <c r="W216" i="21"/>
  <c r="H140" i="21" l="1"/>
  <c r="J140" i="21" s="1"/>
  <c r="P218" i="21"/>
  <c r="Q218" i="21"/>
  <c r="M118" i="21"/>
  <c r="L118" i="21"/>
  <c r="D119" i="21"/>
  <c r="W217" i="21"/>
  <c r="H141" i="21" l="1"/>
  <c r="J141" i="21" s="1"/>
  <c r="P219" i="21"/>
  <c r="Q219" i="21"/>
  <c r="F119" i="21"/>
  <c r="G119" i="21" s="1"/>
  <c r="W218" i="21"/>
  <c r="H142" i="21" l="1"/>
  <c r="J142" i="21" s="1"/>
  <c r="P220" i="21"/>
  <c r="Q220" i="21"/>
  <c r="M119" i="21"/>
  <c r="L119" i="21"/>
  <c r="D120" i="21"/>
  <c r="W219" i="21"/>
  <c r="H143" i="21" l="1"/>
  <c r="J143" i="21" s="1"/>
  <c r="P221" i="21"/>
  <c r="Q221" i="21"/>
  <c r="F120" i="21"/>
  <c r="G120" i="21" s="1"/>
  <c r="W220" i="21"/>
  <c r="H144" i="21" l="1"/>
  <c r="J144" i="21" s="1"/>
  <c r="P222" i="21"/>
  <c r="Q222" i="21"/>
  <c r="M120" i="21"/>
  <c r="L120" i="21"/>
  <c r="D121" i="21"/>
  <c r="W221" i="21"/>
  <c r="H145" i="21" l="1"/>
  <c r="J145" i="21" s="1"/>
  <c r="P223" i="21"/>
  <c r="Q223" i="21"/>
  <c r="F121" i="21"/>
  <c r="G121" i="21" s="1"/>
  <c r="W222" i="21"/>
  <c r="H147" i="21" l="1"/>
  <c r="H146" i="21"/>
  <c r="J146" i="21" s="1"/>
  <c r="Q224" i="21"/>
  <c r="P224" i="21"/>
  <c r="R225" i="21" s="1"/>
  <c r="M121" i="21"/>
  <c r="L121" i="21"/>
  <c r="D122" i="21"/>
  <c r="W223" i="21"/>
  <c r="J147" i="21" l="1"/>
  <c r="H148" i="21"/>
  <c r="P225" i="21"/>
  <c r="G23" i="27" s="1"/>
  <c r="Q225" i="21"/>
  <c r="H23" i="27" s="1"/>
  <c r="F122" i="21"/>
  <c r="G122" i="21" s="1"/>
  <c r="W224" i="21"/>
  <c r="J148" i="21" l="1"/>
  <c r="H149" i="21"/>
  <c r="P226" i="21"/>
  <c r="Q226" i="21"/>
  <c r="M122" i="21"/>
  <c r="L122" i="21"/>
  <c r="D123" i="21"/>
  <c r="W225" i="21"/>
  <c r="I23" i="27" s="1"/>
  <c r="H150" i="21" l="1"/>
  <c r="J149" i="21"/>
  <c r="P227" i="21"/>
  <c r="Q227" i="21"/>
  <c r="F123" i="21"/>
  <c r="G123" i="21" s="1"/>
  <c r="W226" i="21"/>
  <c r="J150" i="21" l="1"/>
  <c r="H151" i="21"/>
  <c r="P228" i="21"/>
  <c r="Q228" i="21"/>
  <c r="M123" i="21"/>
  <c r="L123" i="21"/>
  <c r="D124" i="21"/>
  <c r="W227" i="21"/>
  <c r="J151" i="21" l="1"/>
  <c r="H152" i="21"/>
  <c r="J152" i="21" s="1"/>
  <c r="H153" i="21" s="1"/>
  <c r="J153" i="21" s="1"/>
  <c r="H154" i="21" s="1"/>
  <c r="J154" i="21" s="1"/>
  <c r="H155" i="21" s="1"/>
  <c r="J155" i="21" s="1"/>
  <c r="H156" i="21" s="1"/>
  <c r="J156" i="21" s="1"/>
  <c r="H157" i="21" s="1"/>
  <c r="J157" i="21" s="1"/>
  <c r="H158" i="21" s="1"/>
  <c r="J158" i="21" s="1"/>
  <c r="H159" i="21" s="1"/>
  <c r="J159" i="21" s="1"/>
  <c r="H160" i="21" s="1"/>
  <c r="J160" i="21" s="1"/>
  <c r="H161" i="21" s="1"/>
  <c r="J161" i="21" s="1"/>
  <c r="H162" i="21" s="1"/>
  <c r="J162" i="21" s="1"/>
  <c r="H163" i="21" s="1"/>
  <c r="J163" i="21" s="1"/>
  <c r="H164" i="21" s="1"/>
  <c r="J164" i="21" s="1"/>
  <c r="H165" i="21" s="1"/>
  <c r="J165" i="21" s="1"/>
  <c r="H166" i="21" s="1"/>
  <c r="J166" i="21" s="1"/>
  <c r="H167" i="21" s="1"/>
  <c r="J167" i="21" s="1"/>
  <c r="H168" i="21" s="1"/>
  <c r="J168" i="21" s="1"/>
  <c r="H169" i="21" s="1"/>
  <c r="J169" i="21" s="1"/>
  <c r="H170" i="21" s="1"/>
  <c r="J170" i="21" s="1"/>
  <c r="H171" i="21" s="1"/>
  <c r="J171" i="21" s="1"/>
  <c r="H172" i="21" s="1"/>
  <c r="J172" i="21" s="1"/>
  <c r="H173" i="21" s="1"/>
  <c r="J173" i="21" s="1"/>
  <c r="H174" i="21" s="1"/>
  <c r="J174" i="21" s="1"/>
  <c r="H175" i="21" s="1"/>
  <c r="J175" i="21" s="1"/>
  <c r="H176" i="21" s="1"/>
  <c r="J176" i="21" s="1"/>
  <c r="H177" i="21" s="1"/>
  <c r="J177" i="21" s="1"/>
  <c r="H178" i="21" s="1"/>
  <c r="J178" i="21" s="1"/>
  <c r="H179" i="21" s="1"/>
  <c r="J179" i="21" s="1"/>
  <c r="H180" i="21" s="1"/>
  <c r="J180" i="21" s="1"/>
  <c r="H181" i="21" s="1"/>
  <c r="J181" i="21" s="1"/>
  <c r="H182" i="21" s="1"/>
  <c r="J182" i="21" s="1"/>
  <c r="H183" i="21" s="1"/>
  <c r="J183" i="21" s="1"/>
  <c r="H184" i="21" s="1"/>
  <c r="J184" i="21" s="1"/>
  <c r="H185" i="21" s="1"/>
  <c r="J185" i="21" s="1"/>
  <c r="H186" i="21" s="1"/>
  <c r="J186" i="21" s="1"/>
  <c r="P229" i="21"/>
  <c r="Q229" i="21"/>
  <c r="F124" i="21"/>
  <c r="G124" i="21" s="1"/>
  <c r="W228" i="21"/>
  <c r="P230" i="21" l="1"/>
  <c r="Q230" i="21"/>
  <c r="M124" i="21"/>
  <c r="L124" i="21"/>
  <c r="H187" i="21"/>
  <c r="D125" i="21"/>
  <c r="W229" i="21"/>
  <c r="P231" i="21" l="1"/>
  <c r="Q231" i="21"/>
  <c r="J187" i="21"/>
  <c r="F125" i="21"/>
  <c r="G125" i="21" s="1"/>
  <c r="W230" i="21"/>
  <c r="P232" i="21" l="1"/>
  <c r="Q232" i="21"/>
  <c r="M125" i="21"/>
  <c r="L125" i="21"/>
  <c r="H188" i="21"/>
  <c r="J188" i="21" s="1"/>
  <c r="D126" i="21"/>
  <c r="W231" i="21"/>
  <c r="P233" i="21" l="1"/>
  <c r="Q233" i="21"/>
  <c r="H189" i="21"/>
  <c r="J189" i="21" s="1"/>
  <c r="F126" i="21"/>
  <c r="G126" i="21" s="1"/>
  <c r="W232" i="21"/>
  <c r="P234" i="21" l="1"/>
  <c r="Q234" i="21"/>
  <c r="M126" i="21"/>
  <c r="L126" i="21"/>
  <c r="H190" i="21"/>
  <c r="J190" i="21" s="1"/>
  <c r="D127" i="21"/>
  <c r="W233" i="21"/>
  <c r="P235" i="21" l="1"/>
  <c r="Q235" i="21"/>
  <c r="H191" i="21"/>
  <c r="J191" i="21" s="1"/>
  <c r="F127" i="21"/>
  <c r="G127" i="21" s="1"/>
  <c r="W234" i="21"/>
  <c r="Q236" i="21" l="1"/>
  <c r="P236" i="21"/>
  <c r="R237" i="21" s="1"/>
  <c r="M127" i="21"/>
  <c r="L127" i="21"/>
  <c r="H192" i="21"/>
  <c r="J192" i="21" s="1"/>
  <c r="D128" i="21"/>
  <c r="W235" i="21"/>
  <c r="P237" i="21" l="1"/>
  <c r="G24" i="27" s="1"/>
  <c r="Q237" i="21"/>
  <c r="H24" i="27" s="1"/>
  <c r="H193" i="21"/>
  <c r="J193" i="21" s="1"/>
  <c r="F128" i="21"/>
  <c r="G128" i="21" s="1"/>
  <c r="W236" i="21"/>
  <c r="P238" i="21" l="1"/>
  <c r="Q238" i="21"/>
  <c r="M128" i="21"/>
  <c r="L128" i="21"/>
  <c r="S129" i="21" s="1"/>
  <c r="H194" i="21"/>
  <c r="J194" i="21" s="1"/>
  <c r="D129" i="21"/>
  <c r="W237" i="21"/>
  <c r="I24" i="27" s="1"/>
  <c r="T129" i="21" l="1"/>
  <c r="V129" i="21" s="1"/>
  <c r="U141" i="21"/>
  <c r="P239" i="21"/>
  <c r="Q239" i="21"/>
  <c r="H195" i="21"/>
  <c r="F129" i="21"/>
  <c r="G129" i="21" s="1"/>
  <c r="W238" i="21"/>
  <c r="P240" i="21" l="1"/>
  <c r="Q240" i="21"/>
  <c r="M129" i="21"/>
  <c r="L129" i="21"/>
  <c r="E15" i="27" s="1"/>
  <c r="J195" i="21"/>
  <c r="D130" i="21"/>
  <c r="W239" i="21"/>
  <c r="P241" i="21" l="1"/>
  <c r="Q241" i="21"/>
  <c r="H196" i="21"/>
  <c r="J196" i="21" s="1"/>
  <c r="F130" i="21"/>
  <c r="G130" i="21" s="1"/>
  <c r="W240" i="21"/>
  <c r="P242" i="21" l="1"/>
  <c r="Q242" i="21"/>
  <c r="M130" i="21"/>
  <c r="L130" i="21"/>
  <c r="H197" i="21"/>
  <c r="J197" i="21" s="1"/>
  <c r="D131" i="21"/>
  <c r="W241" i="21"/>
  <c r="P243" i="21" l="1"/>
  <c r="Q243" i="21"/>
  <c r="H198" i="21"/>
  <c r="J198" i="21" s="1"/>
  <c r="F131" i="21"/>
  <c r="G131" i="21" s="1"/>
  <c r="W242" i="21"/>
  <c r="P244" i="21" l="1"/>
  <c r="Q244" i="21"/>
  <c r="M131" i="21"/>
  <c r="L131" i="21"/>
  <c r="H199" i="21"/>
  <c r="J199" i="21" s="1"/>
  <c r="D132" i="21"/>
  <c r="W243" i="21"/>
  <c r="P245" i="21" l="1"/>
  <c r="Q245" i="21"/>
  <c r="H200" i="21"/>
  <c r="J200" i="21" s="1"/>
  <c r="F132" i="21"/>
  <c r="G132" i="21" s="1"/>
  <c r="W244" i="21"/>
  <c r="P246" i="21" l="1"/>
  <c r="Q246" i="21"/>
  <c r="M132" i="21"/>
  <c r="L132" i="21"/>
  <c r="H201" i="21"/>
  <c r="J201" i="21" s="1"/>
  <c r="D133" i="21"/>
  <c r="W245" i="21"/>
  <c r="P247" i="21" l="1"/>
  <c r="Q247" i="21"/>
  <c r="H202" i="21"/>
  <c r="J202" i="21" s="1"/>
  <c r="F133" i="21"/>
  <c r="G133" i="21" s="1"/>
  <c r="W246" i="21"/>
  <c r="Q248" i="21" l="1"/>
  <c r="P248" i="21"/>
  <c r="R249" i="21" s="1"/>
  <c r="M133" i="21"/>
  <c r="L133" i="21"/>
  <c r="H203" i="21"/>
  <c r="D134" i="21"/>
  <c r="W247" i="21"/>
  <c r="P249" i="21" l="1"/>
  <c r="Q249" i="21"/>
  <c r="J203" i="21"/>
  <c r="F134" i="21"/>
  <c r="G134" i="21" s="1"/>
  <c r="W248" i="21"/>
  <c r="H25" i="27"/>
  <c r="P250" i="21" l="1"/>
  <c r="Q250" i="21"/>
  <c r="M134" i="21"/>
  <c r="L134" i="21"/>
  <c r="H204" i="21"/>
  <c r="J204" i="21" s="1"/>
  <c r="D135" i="21"/>
  <c r="W249" i="21"/>
  <c r="I25" i="27" s="1"/>
  <c r="G25" i="27"/>
  <c r="P251" i="21" l="1"/>
  <c r="Q251" i="21"/>
  <c r="H205" i="21"/>
  <c r="J205" i="21" s="1"/>
  <c r="F135" i="21"/>
  <c r="G135" i="21" s="1"/>
  <c r="W250" i="21"/>
  <c r="P252" i="21" l="1"/>
  <c r="Q252" i="21"/>
  <c r="M135" i="21"/>
  <c r="L135" i="21"/>
  <c r="H206" i="21"/>
  <c r="J206" i="21" s="1"/>
  <c r="D136" i="21"/>
  <c r="W251" i="21"/>
  <c r="P253" i="21" l="1"/>
  <c r="Q253" i="21"/>
  <c r="H207" i="21"/>
  <c r="J207" i="21" s="1"/>
  <c r="F136" i="21"/>
  <c r="G136" i="21" s="1"/>
  <c r="W252" i="21"/>
  <c r="P254" i="21" l="1"/>
  <c r="Q254" i="21"/>
  <c r="M136" i="21"/>
  <c r="L136" i="21"/>
  <c r="H208" i="21"/>
  <c r="J208" i="21" s="1"/>
  <c r="D137" i="21"/>
  <c r="W253" i="21"/>
  <c r="P255" i="21" l="1"/>
  <c r="Q255" i="21"/>
  <c r="H209" i="21"/>
  <c r="J209" i="21" s="1"/>
  <c r="F137" i="21"/>
  <c r="G137" i="21" s="1"/>
  <c r="W254" i="21"/>
  <c r="P256" i="21" l="1"/>
  <c r="Q256" i="21"/>
  <c r="M137" i="21"/>
  <c r="L137" i="21"/>
  <c r="H210" i="21"/>
  <c r="J210" i="21" s="1"/>
  <c r="D138" i="21"/>
  <c r="W255" i="21"/>
  <c r="P257" i="21" l="1"/>
  <c r="Q257" i="21"/>
  <c r="H211" i="21"/>
  <c r="F138" i="21"/>
  <c r="G138" i="21" s="1"/>
  <c r="W256" i="21"/>
  <c r="P258" i="21" l="1"/>
  <c r="Q258" i="21"/>
  <c r="M138" i="21"/>
  <c r="L138" i="21"/>
  <c r="J211" i="21"/>
  <c r="D139" i="21"/>
  <c r="W257" i="21"/>
  <c r="P259" i="21" l="1"/>
  <c r="Q259" i="21"/>
  <c r="H212" i="21"/>
  <c r="J212" i="21" s="1"/>
  <c r="F139" i="21"/>
  <c r="G139" i="21" s="1"/>
  <c r="W258" i="21"/>
  <c r="Q260" i="21" l="1"/>
  <c r="P260" i="21"/>
  <c r="R261" i="21" s="1"/>
  <c r="M139" i="21"/>
  <c r="L139" i="21"/>
  <c r="H213" i="21"/>
  <c r="J213" i="21" s="1"/>
  <c r="D140" i="21"/>
  <c r="W259" i="21"/>
  <c r="P261" i="21" l="1"/>
  <c r="Q261" i="21"/>
  <c r="H214" i="21"/>
  <c r="J214" i="21" s="1"/>
  <c r="F140" i="21"/>
  <c r="G140" i="21" s="1"/>
  <c r="W260" i="21"/>
  <c r="H26" i="27"/>
  <c r="P262" i="21" l="1"/>
  <c r="Q262" i="21"/>
  <c r="M140" i="21"/>
  <c r="L140" i="21"/>
  <c r="S141" i="21" s="1"/>
  <c r="H215" i="21"/>
  <c r="J215" i="21" s="1"/>
  <c r="D141" i="21"/>
  <c r="W261" i="21"/>
  <c r="G26" i="27"/>
  <c r="T141" i="21" l="1"/>
  <c r="V141" i="21" s="1"/>
  <c r="U153" i="21"/>
  <c r="P263" i="21"/>
  <c r="Q263" i="21"/>
  <c r="H216" i="21"/>
  <c r="F141" i="21"/>
  <c r="G141" i="21" s="1"/>
  <c r="W262" i="21"/>
  <c r="I26" i="27"/>
  <c r="P264" i="21" l="1"/>
  <c r="Q264" i="21"/>
  <c r="M141" i="21"/>
  <c r="L141" i="21"/>
  <c r="E16" i="27" s="1"/>
  <c r="J216" i="21"/>
  <c r="D142" i="21"/>
  <c r="W263" i="21"/>
  <c r="P265" i="21" l="1"/>
  <c r="Q265" i="21"/>
  <c r="H217" i="21"/>
  <c r="J217" i="21" s="1"/>
  <c r="F142" i="21"/>
  <c r="G142" i="21" s="1"/>
  <c r="W264" i="21"/>
  <c r="P266" i="21" l="1"/>
  <c r="Q266" i="21"/>
  <c r="M142" i="21"/>
  <c r="L142" i="21"/>
  <c r="H218" i="21"/>
  <c r="J218" i="21" s="1"/>
  <c r="D143" i="21"/>
  <c r="W265" i="21"/>
  <c r="P267" i="21" l="1"/>
  <c r="Q267" i="21"/>
  <c r="H219" i="21"/>
  <c r="F143" i="21"/>
  <c r="G143" i="21" s="1"/>
  <c r="W266" i="21"/>
  <c r="P268" i="21" l="1"/>
  <c r="Q268" i="21"/>
  <c r="M143" i="21"/>
  <c r="L143" i="21"/>
  <c r="J219" i="21"/>
  <c r="D144" i="21"/>
  <c r="W267" i="21"/>
  <c r="P269" i="21" l="1"/>
  <c r="Q269" i="21"/>
  <c r="H220" i="21"/>
  <c r="J220" i="21" s="1"/>
  <c r="F144" i="21"/>
  <c r="G144" i="21" s="1"/>
  <c r="W268" i="21"/>
  <c r="P270" i="21" l="1"/>
  <c r="Q270" i="21"/>
  <c r="M144" i="21"/>
  <c r="L144" i="21"/>
  <c r="H221" i="21"/>
  <c r="J221" i="21" s="1"/>
  <c r="D145" i="21"/>
  <c r="W269" i="21"/>
  <c r="P271" i="21" l="1"/>
  <c r="Q271" i="21"/>
  <c r="H222" i="21"/>
  <c r="J222" i="21" s="1"/>
  <c r="F145" i="21"/>
  <c r="G145" i="21" s="1"/>
  <c r="W270" i="21"/>
  <c r="Q272" i="21" l="1"/>
  <c r="P272" i="21"/>
  <c r="R273" i="21" s="1"/>
  <c r="M145" i="21"/>
  <c r="L145" i="21"/>
  <c r="H223" i="21"/>
  <c r="J223" i="21" s="1"/>
  <c r="D146" i="21"/>
  <c r="W271" i="21"/>
  <c r="P273" i="21" l="1"/>
  <c r="Q273" i="21"/>
  <c r="H224" i="21"/>
  <c r="F146" i="21"/>
  <c r="G146" i="21" s="1"/>
  <c r="W272" i="21"/>
  <c r="H27" i="27"/>
  <c r="P274" i="21" l="1"/>
  <c r="Q274" i="21"/>
  <c r="M146" i="21"/>
  <c r="L146" i="21"/>
  <c r="J224" i="21"/>
  <c r="D147" i="21"/>
  <c r="W273" i="21"/>
  <c r="G27" i="27"/>
  <c r="P275" i="21" l="1"/>
  <c r="Q275" i="21"/>
  <c r="H225" i="21"/>
  <c r="J225" i="21" s="1"/>
  <c r="F147" i="21"/>
  <c r="G147" i="21" s="1"/>
  <c r="W274" i="21"/>
  <c r="I27" i="27"/>
  <c r="P276" i="21" l="1"/>
  <c r="Q276" i="21"/>
  <c r="M147" i="21"/>
  <c r="L147" i="21"/>
  <c r="H226" i="21"/>
  <c r="J226" i="21" s="1"/>
  <c r="D148" i="21"/>
  <c r="W275" i="21"/>
  <c r="P277" i="21" l="1"/>
  <c r="Q277" i="21"/>
  <c r="H227" i="21"/>
  <c r="F148" i="21"/>
  <c r="G148" i="21" s="1"/>
  <c r="W276" i="21"/>
  <c r="P278" i="21" l="1"/>
  <c r="Q278" i="21"/>
  <c r="M148" i="21"/>
  <c r="L148" i="21"/>
  <c r="J227" i="21"/>
  <c r="D149" i="21"/>
  <c r="W277" i="21"/>
  <c r="P279" i="21" l="1"/>
  <c r="Q279" i="21"/>
  <c r="H228" i="21"/>
  <c r="F149" i="21"/>
  <c r="G149" i="21" s="1"/>
  <c r="W278" i="21"/>
  <c r="P280" i="21" l="1"/>
  <c r="Q280" i="21"/>
  <c r="M149" i="21"/>
  <c r="L149" i="21"/>
  <c r="J228" i="21"/>
  <c r="D150" i="21"/>
  <c r="W279" i="21"/>
  <c r="P281" i="21" l="1"/>
  <c r="Q281" i="21"/>
  <c r="H229" i="21"/>
  <c r="J229" i="21" s="1"/>
  <c r="F150" i="21"/>
  <c r="G150" i="21" s="1"/>
  <c r="W280" i="21"/>
  <c r="P282" i="21" l="1"/>
  <c r="Q282" i="21"/>
  <c r="M150" i="21"/>
  <c r="L150" i="21"/>
  <c r="H230" i="21"/>
  <c r="J230" i="21" s="1"/>
  <c r="D151" i="21"/>
  <c r="W281" i="21"/>
  <c r="P283" i="21" l="1"/>
  <c r="Q283" i="21"/>
  <c r="H231" i="21"/>
  <c r="J231" i="21" s="1"/>
  <c r="F151" i="21"/>
  <c r="G151" i="21" s="1"/>
  <c r="W282" i="21"/>
  <c r="Q284" i="21" l="1"/>
  <c r="P284" i="21"/>
  <c r="R285" i="21" s="1"/>
  <c r="M151" i="21"/>
  <c r="L151" i="21"/>
  <c r="H232" i="21"/>
  <c r="D152" i="21"/>
  <c r="W283" i="21"/>
  <c r="P285" i="21" l="1"/>
  <c r="Q285" i="21"/>
  <c r="J232" i="21"/>
  <c r="F152" i="21"/>
  <c r="G152" i="21" s="1"/>
  <c r="W284" i="21"/>
  <c r="H28" i="27"/>
  <c r="P286" i="21" l="1"/>
  <c r="Q286" i="21"/>
  <c r="M152" i="21"/>
  <c r="L152" i="21"/>
  <c r="S153" i="21" s="1"/>
  <c r="H233" i="21"/>
  <c r="J233" i="21" s="1"/>
  <c r="D153" i="21"/>
  <c r="W285" i="21"/>
  <c r="G28" i="27"/>
  <c r="T153" i="21" l="1"/>
  <c r="V153" i="21" s="1"/>
  <c r="U165" i="21"/>
  <c r="P287" i="21"/>
  <c r="Q287" i="21"/>
  <c r="H234" i="21"/>
  <c r="J234" i="21" s="1"/>
  <c r="F153" i="21"/>
  <c r="G153" i="21" s="1"/>
  <c r="W286" i="21"/>
  <c r="I28" i="27"/>
  <c r="P288" i="21" l="1"/>
  <c r="Q288" i="21"/>
  <c r="M153" i="21"/>
  <c r="L153" i="21"/>
  <c r="E17" i="27" s="1"/>
  <c r="H235" i="21"/>
  <c r="D154" i="21"/>
  <c r="W287" i="21"/>
  <c r="P289" i="21" l="1"/>
  <c r="Q289" i="21"/>
  <c r="J235" i="21"/>
  <c r="F154" i="21"/>
  <c r="G154" i="21" s="1"/>
  <c r="W288" i="21"/>
  <c r="P290" i="21" l="1"/>
  <c r="Q290" i="21"/>
  <c r="M154" i="21"/>
  <c r="L154" i="21"/>
  <c r="H236" i="21"/>
  <c r="J236" i="21" s="1"/>
  <c r="D155" i="21"/>
  <c r="W289" i="21"/>
  <c r="P291" i="21" l="1"/>
  <c r="Q291" i="21"/>
  <c r="H237" i="21"/>
  <c r="J237" i="21" s="1"/>
  <c r="F155" i="21"/>
  <c r="G155" i="21" s="1"/>
  <c r="W290" i="21"/>
  <c r="P292" i="21" l="1"/>
  <c r="Q292" i="21"/>
  <c r="M155" i="21"/>
  <c r="L155" i="21"/>
  <c r="H238" i="21"/>
  <c r="J238" i="21" s="1"/>
  <c r="D156" i="21"/>
  <c r="W291" i="21"/>
  <c r="P293" i="21" l="1"/>
  <c r="Q293" i="21"/>
  <c r="H239" i="21"/>
  <c r="J239" i="21" s="1"/>
  <c r="F156" i="21"/>
  <c r="G156" i="21" s="1"/>
  <c r="W292" i="21"/>
  <c r="P294" i="21" l="1"/>
  <c r="Q294" i="21"/>
  <c r="M156" i="21"/>
  <c r="L156" i="21"/>
  <c r="H240" i="21"/>
  <c r="D157" i="21"/>
  <c r="W293" i="21"/>
  <c r="P295" i="21" l="1"/>
  <c r="Q295" i="21"/>
  <c r="J240" i="21"/>
  <c r="F157" i="21"/>
  <c r="G157" i="21" s="1"/>
  <c r="W294" i="21"/>
  <c r="Q296" i="21" l="1"/>
  <c r="P296" i="21"/>
  <c r="R297" i="21" s="1"/>
  <c r="M157" i="21"/>
  <c r="L157" i="21"/>
  <c r="H241" i="21"/>
  <c r="J241" i="21" s="1"/>
  <c r="D158" i="21"/>
  <c r="W295" i="21"/>
  <c r="P297" i="21" l="1"/>
  <c r="Q297" i="21"/>
  <c r="H242" i="21"/>
  <c r="J242" i="21" s="1"/>
  <c r="F158" i="21"/>
  <c r="G158" i="21" s="1"/>
  <c r="W296" i="21"/>
  <c r="H29" i="27"/>
  <c r="P298" i="21" l="1"/>
  <c r="Q298" i="21"/>
  <c r="M158" i="21"/>
  <c r="L158" i="21"/>
  <c r="H243" i="21"/>
  <c r="J243" i="21" s="1"/>
  <c r="D159" i="21"/>
  <c r="W297" i="21"/>
  <c r="G29" i="27"/>
  <c r="P299" i="21" l="1"/>
  <c r="Q299" i="21"/>
  <c r="H244" i="21"/>
  <c r="F159" i="21"/>
  <c r="G159" i="21" s="1"/>
  <c r="W298" i="21"/>
  <c r="I29" i="27"/>
  <c r="P300" i="21" l="1"/>
  <c r="Q300" i="21"/>
  <c r="M159" i="21"/>
  <c r="L159" i="21"/>
  <c r="J244" i="21"/>
  <c r="D160" i="21"/>
  <c r="W299" i="21"/>
  <c r="P301" i="21" l="1"/>
  <c r="Q301" i="21"/>
  <c r="H245" i="21"/>
  <c r="J245" i="21" s="1"/>
  <c r="F160" i="21"/>
  <c r="G160" i="21" s="1"/>
  <c r="W300" i="21"/>
  <c r="P302" i="21" l="1"/>
  <c r="Q302" i="21"/>
  <c r="M160" i="21"/>
  <c r="L160" i="21"/>
  <c r="H246" i="21"/>
  <c r="J246" i="21" s="1"/>
  <c r="D161" i="21"/>
  <c r="W301" i="21"/>
  <c r="P303" i="21" l="1"/>
  <c r="Q303" i="21"/>
  <c r="H247" i="21"/>
  <c r="J247" i="21" s="1"/>
  <c r="F161" i="21"/>
  <c r="G161" i="21" s="1"/>
  <c r="W302" i="21"/>
  <c r="P304" i="21" l="1"/>
  <c r="Q304" i="21"/>
  <c r="M161" i="21"/>
  <c r="L161" i="21"/>
  <c r="H248" i="21"/>
  <c r="J248" i="21" s="1"/>
  <c r="D162" i="21"/>
  <c r="W303" i="21"/>
  <c r="P305" i="21" l="1"/>
  <c r="Q305" i="21"/>
  <c r="H249" i="21"/>
  <c r="J249" i="21" s="1"/>
  <c r="F162" i="21"/>
  <c r="G162" i="21" s="1"/>
  <c r="W304" i="21"/>
  <c r="P306" i="21" l="1"/>
  <c r="Q306" i="21"/>
  <c r="M162" i="21"/>
  <c r="L162" i="21"/>
  <c r="H250" i="21"/>
  <c r="J250" i="21" s="1"/>
  <c r="D163" i="21"/>
  <c r="W305" i="21"/>
  <c r="P307" i="21" l="1"/>
  <c r="Q307" i="21"/>
  <c r="H251" i="21"/>
  <c r="F163" i="21"/>
  <c r="G163" i="21" s="1"/>
  <c r="W306" i="21"/>
  <c r="Q308" i="21" l="1"/>
  <c r="P308" i="21"/>
  <c r="R309" i="21" s="1"/>
  <c r="M163" i="21"/>
  <c r="L163" i="21"/>
  <c r="J251" i="21"/>
  <c r="D164" i="21"/>
  <c r="W307" i="21"/>
  <c r="P309" i="21" l="1"/>
  <c r="Q309" i="21"/>
  <c r="H252" i="21"/>
  <c r="J252" i="21" s="1"/>
  <c r="F164" i="21"/>
  <c r="G164" i="21" s="1"/>
  <c r="W308" i="21"/>
  <c r="H30" i="27"/>
  <c r="P310" i="21" l="1"/>
  <c r="Q310" i="21"/>
  <c r="M164" i="21"/>
  <c r="L164" i="21"/>
  <c r="S165" i="21" s="1"/>
  <c r="H253" i="21"/>
  <c r="J253" i="21" s="1"/>
  <c r="D165" i="21"/>
  <c r="W309" i="21"/>
  <c r="G30" i="27"/>
  <c r="T165" i="21" l="1"/>
  <c r="V165" i="21" s="1"/>
  <c r="U177" i="21"/>
  <c r="P311" i="21"/>
  <c r="Q311" i="21"/>
  <c r="H254" i="21"/>
  <c r="J254" i="21" s="1"/>
  <c r="F165" i="21"/>
  <c r="G165" i="21" s="1"/>
  <c r="W310" i="21"/>
  <c r="I30" i="27"/>
  <c r="P312" i="21" l="1"/>
  <c r="Q312" i="21"/>
  <c r="M165" i="21"/>
  <c r="L165" i="21"/>
  <c r="E18" i="27" s="1"/>
  <c r="H255" i="21"/>
  <c r="J255" i="21" s="1"/>
  <c r="D166" i="21"/>
  <c r="W311" i="21"/>
  <c r="P313" i="21" l="1"/>
  <c r="Q313" i="21"/>
  <c r="H256" i="21"/>
  <c r="F166" i="21"/>
  <c r="G166" i="21" s="1"/>
  <c r="W312" i="21"/>
  <c r="P314" i="21" l="1"/>
  <c r="Q314" i="21"/>
  <c r="M166" i="21"/>
  <c r="L166" i="21"/>
  <c r="J256" i="21"/>
  <c r="D167" i="21"/>
  <c r="W313" i="21"/>
  <c r="P315" i="21" l="1"/>
  <c r="Q315" i="21"/>
  <c r="H257" i="21"/>
  <c r="J257" i="21" s="1"/>
  <c r="F167" i="21"/>
  <c r="G167" i="21" s="1"/>
  <c r="W314" i="21"/>
  <c r="P316" i="21" l="1"/>
  <c r="Q316" i="21"/>
  <c r="M167" i="21"/>
  <c r="L167" i="21"/>
  <c r="H258" i="21"/>
  <c r="J258" i="21" s="1"/>
  <c r="D168" i="21"/>
  <c r="W315" i="21"/>
  <c r="P317" i="21" l="1"/>
  <c r="Q317" i="21"/>
  <c r="H259" i="21"/>
  <c r="F168" i="21"/>
  <c r="G168" i="21" s="1"/>
  <c r="W316" i="21"/>
  <c r="P318" i="21" l="1"/>
  <c r="Q318" i="21"/>
  <c r="M168" i="21"/>
  <c r="L168" i="21"/>
  <c r="J259" i="21"/>
  <c r="D169" i="21"/>
  <c r="W317" i="21"/>
  <c r="P319" i="21" l="1"/>
  <c r="Q319" i="21"/>
  <c r="H260" i="21"/>
  <c r="F169" i="21"/>
  <c r="G169" i="21" s="1"/>
  <c r="W318" i="21"/>
  <c r="P320" i="21" l="1"/>
  <c r="R321" i="21" s="1"/>
  <c r="Q320" i="21"/>
  <c r="M169" i="21"/>
  <c r="L169" i="21"/>
  <c r="J260" i="21"/>
  <c r="D170" i="21"/>
  <c r="W319" i="21"/>
  <c r="P321" i="21" l="1"/>
  <c r="Q321" i="21"/>
  <c r="H261" i="21"/>
  <c r="J261" i="21" s="1"/>
  <c r="F170" i="21"/>
  <c r="G170" i="21" s="1"/>
  <c r="W320" i="21"/>
  <c r="P322" i="21" l="1"/>
  <c r="Q322" i="21"/>
  <c r="M170" i="21"/>
  <c r="L170" i="21"/>
  <c r="H262" i="21"/>
  <c r="J262" i="21" s="1"/>
  <c r="D171" i="21"/>
  <c r="W321" i="21"/>
  <c r="P323" i="21" l="1"/>
  <c r="Q323" i="21"/>
  <c r="H263" i="21"/>
  <c r="J263" i="21" s="1"/>
  <c r="F171" i="21"/>
  <c r="G171" i="21" s="1"/>
  <c r="W322" i="21"/>
  <c r="P324" i="21" l="1"/>
  <c r="Q324" i="21"/>
  <c r="M171" i="21"/>
  <c r="L171" i="21"/>
  <c r="H264" i="21"/>
  <c r="J264" i="21" s="1"/>
  <c r="D172" i="21"/>
  <c r="F6" i="27"/>
  <c r="P325" i="21" l="1"/>
  <c r="Q325" i="21"/>
  <c r="H265" i="21"/>
  <c r="J265" i="21" s="1"/>
  <c r="F172" i="21"/>
  <c r="G172" i="21" s="1"/>
  <c r="F7" i="27"/>
  <c r="D7" i="27"/>
  <c r="P326" i="21" l="1"/>
  <c r="Q326" i="21"/>
  <c r="M172" i="21"/>
  <c r="L172" i="21"/>
  <c r="H266" i="21"/>
  <c r="J266" i="21" s="1"/>
  <c r="D173" i="21"/>
  <c r="D8" i="27"/>
  <c r="F8" i="27"/>
  <c r="P327" i="21" l="1"/>
  <c r="Q327" i="21"/>
  <c r="H267" i="21"/>
  <c r="J267" i="21" s="1"/>
  <c r="F173" i="21"/>
  <c r="G173" i="21" s="1"/>
  <c r="F9" i="27"/>
  <c r="D9" i="27"/>
  <c r="P328" i="21" l="1"/>
  <c r="Q328" i="21"/>
  <c r="M173" i="21"/>
  <c r="L173" i="21"/>
  <c r="H268" i="21"/>
  <c r="J268" i="21" s="1"/>
  <c r="D174" i="21"/>
  <c r="D10" i="27"/>
  <c r="F10" i="27"/>
  <c r="P329" i="21" l="1"/>
  <c r="Q329" i="21"/>
  <c r="H269" i="21"/>
  <c r="J269" i="21" s="1"/>
  <c r="F174" i="21"/>
  <c r="G174" i="21" s="1"/>
  <c r="F11" i="27"/>
  <c r="D11" i="27"/>
  <c r="P330" i="21" l="1"/>
  <c r="Q330" i="21"/>
  <c r="M174" i="21"/>
  <c r="L174" i="21"/>
  <c r="H270" i="21"/>
  <c r="J270" i="21" s="1"/>
  <c r="D175" i="21"/>
  <c r="D12" i="27"/>
  <c r="F12" i="27"/>
  <c r="P331" i="21" l="1"/>
  <c r="Q331" i="21"/>
  <c r="H271" i="21"/>
  <c r="J271" i="21" s="1"/>
  <c r="F175" i="21"/>
  <c r="G175" i="21" s="1"/>
  <c r="F13" i="27"/>
  <c r="D13" i="27"/>
  <c r="P332" i="21" l="1"/>
  <c r="Q332" i="21"/>
  <c r="M175" i="21"/>
  <c r="L175" i="21"/>
  <c r="H272" i="21"/>
  <c r="J272" i="21" s="1"/>
  <c r="D176" i="21"/>
  <c r="D14" i="27"/>
  <c r="F14" i="27"/>
  <c r="P333" i="21" l="1"/>
  <c r="Q333" i="21"/>
  <c r="H273" i="21"/>
  <c r="J273" i="21" s="1"/>
  <c r="F176" i="21"/>
  <c r="G176" i="21" s="1"/>
  <c r="F15" i="27"/>
  <c r="D15" i="27"/>
  <c r="P334" i="21" l="1"/>
  <c r="Q334" i="21"/>
  <c r="M176" i="21"/>
  <c r="L176" i="21"/>
  <c r="S177" i="21" s="1"/>
  <c r="H274" i="21"/>
  <c r="J274" i="21" s="1"/>
  <c r="D177" i="21"/>
  <c r="D16" i="27"/>
  <c r="F16" i="27"/>
  <c r="T177" i="21" l="1"/>
  <c r="V177" i="21" s="1"/>
  <c r="U189" i="21"/>
  <c r="Q335" i="21"/>
  <c r="P335" i="21"/>
  <c r="H275" i="21"/>
  <c r="J275" i="21" s="1"/>
  <c r="F177" i="21"/>
  <c r="G177" i="21" s="1"/>
  <c r="F17" i="27"/>
  <c r="D17" i="27"/>
  <c r="P336" i="21" l="1"/>
  <c r="Q336" i="21"/>
  <c r="M177" i="21"/>
  <c r="L177" i="21"/>
  <c r="E19" i="27" s="1"/>
  <c r="H276" i="21"/>
  <c r="J276" i="21" s="1"/>
  <c r="D178" i="21"/>
  <c r="F18" i="27"/>
  <c r="D18" i="27"/>
  <c r="P337" i="21" l="1"/>
  <c r="Q337" i="21"/>
  <c r="H277" i="21"/>
  <c r="J277" i="21" s="1"/>
  <c r="F178" i="21"/>
  <c r="G178" i="21" s="1"/>
  <c r="F19" i="27"/>
  <c r="D19" i="27"/>
  <c r="P338" i="21" l="1"/>
  <c r="Q338" i="21"/>
  <c r="M178" i="21"/>
  <c r="L178" i="21"/>
  <c r="H278" i="21"/>
  <c r="J278" i="21" s="1"/>
  <c r="D179" i="21"/>
  <c r="P339" i="21" l="1"/>
  <c r="Q339" i="21"/>
  <c r="H279" i="21"/>
  <c r="J279" i="21" s="1"/>
  <c r="F179" i="21"/>
  <c r="G179" i="21" s="1"/>
  <c r="P340" i="21" l="1"/>
  <c r="Q340" i="21"/>
  <c r="M179" i="21"/>
  <c r="L179" i="21"/>
  <c r="H280" i="21"/>
  <c r="J280" i="21" s="1"/>
  <c r="D180" i="21"/>
  <c r="P341" i="21" l="1"/>
  <c r="Q341" i="21"/>
  <c r="H281" i="21"/>
  <c r="J281" i="21" s="1"/>
  <c r="F180" i="21"/>
  <c r="G180" i="21" s="1"/>
  <c r="P342" i="21" l="1"/>
  <c r="Q342" i="21"/>
  <c r="M180" i="21"/>
  <c r="L180" i="21"/>
  <c r="H282" i="21"/>
  <c r="J282" i="21" s="1"/>
  <c r="D181" i="21"/>
  <c r="P343" i="21" l="1"/>
  <c r="Q343" i="21"/>
  <c r="H283" i="21"/>
  <c r="J283" i="21" s="1"/>
  <c r="F181" i="21"/>
  <c r="G181" i="21" s="1"/>
  <c r="P344" i="21" l="1"/>
  <c r="Q344" i="21"/>
  <c r="M181" i="21"/>
  <c r="L181" i="21"/>
  <c r="H284" i="21"/>
  <c r="J284" i="21" s="1"/>
  <c r="D182" i="21"/>
  <c r="P345" i="21" l="1"/>
  <c r="Q345" i="21"/>
  <c r="H285" i="21"/>
  <c r="J285" i="21" s="1"/>
  <c r="F182" i="21"/>
  <c r="G182" i="21" s="1"/>
  <c r="P346" i="21" l="1"/>
  <c r="Q346" i="21"/>
  <c r="M182" i="21"/>
  <c r="L182" i="21"/>
  <c r="H286" i="21"/>
  <c r="J286" i="21" s="1"/>
  <c r="D183" i="21"/>
  <c r="P347" i="21" l="1"/>
  <c r="Q347" i="21"/>
  <c r="H287" i="21"/>
  <c r="J287" i="21" s="1"/>
  <c r="F183" i="21"/>
  <c r="G183" i="21" s="1"/>
  <c r="P348" i="21" l="1"/>
  <c r="Q348" i="21"/>
  <c r="M183" i="21"/>
  <c r="L183" i="21"/>
  <c r="H288" i="21"/>
  <c r="J288" i="21" s="1"/>
  <c r="D184" i="21"/>
  <c r="P349" i="21" l="1"/>
  <c r="Q349" i="21"/>
  <c r="H289" i="21"/>
  <c r="J289" i="21" s="1"/>
  <c r="F184" i="21"/>
  <c r="G184" i="21" s="1"/>
  <c r="P350" i="21" l="1"/>
  <c r="Q350" i="21"/>
  <c r="M184" i="21"/>
  <c r="L184" i="21"/>
  <c r="H290" i="21"/>
  <c r="J290" i="21" s="1"/>
  <c r="D185" i="21"/>
  <c r="P351" i="21" l="1"/>
  <c r="Q351" i="21"/>
  <c r="H291" i="21"/>
  <c r="J291" i="21" s="1"/>
  <c r="F185" i="21"/>
  <c r="G185" i="21" s="1"/>
  <c r="P352" i="21" l="1"/>
  <c r="Q352" i="21"/>
  <c r="M185" i="21"/>
  <c r="L185" i="21"/>
  <c r="H292" i="21"/>
  <c r="J292" i="21" s="1"/>
  <c r="D186" i="21"/>
  <c r="P353" i="21" l="1"/>
  <c r="Q353" i="21"/>
  <c r="H293" i="21"/>
  <c r="J293" i="21" s="1"/>
  <c r="F186" i="21"/>
  <c r="G186" i="21" s="1"/>
  <c r="P354" i="21" l="1"/>
  <c r="Q354" i="21"/>
  <c r="M186" i="21"/>
  <c r="L186" i="21"/>
  <c r="H294" i="21"/>
  <c r="J294" i="21" s="1"/>
  <c r="D187" i="21"/>
  <c r="P355" i="21" l="1"/>
  <c r="Q355" i="21"/>
  <c r="H295" i="21"/>
  <c r="J295" i="21" s="1"/>
  <c r="F187" i="21"/>
  <c r="G187" i="21" s="1"/>
  <c r="P356" i="21" l="1"/>
  <c r="Q356" i="21"/>
  <c r="M187" i="21"/>
  <c r="L187" i="21"/>
  <c r="H296" i="21"/>
  <c r="J296" i="21" s="1"/>
  <c r="D188" i="21"/>
  <c r="P357" i="21" l="1"/>
  <c r="Q357" i="21"/>
  <c r="H297" i="21"/>
  <c r="J297" i="21" s="1"/>
  <c r="F188" i="21"/>
  <c r="G188" i="21" s="1"/>
  <c r="P358" i="21" l="1"/>
  <c r="Q358" i="21"/>
  <c r="M188" i="21"/>
  <c r="L188" i="21"/>
  <c r="S189" i="21" s="1"/>
  <c r="H298" i="21"/>
  <c r="J298" i="21" s="1"/>
  <c r="D189" i="21"/>
  <c r="T189" i="21" l="1"/>
  <c r="V189" i="21" s="1"/>
  <c r="U201" i="21"/>
  <c r="P359" i="21"/>
  <c r="Q359" i="21"/>
  <c r="H299" i="21"/>
  <c r="J299" i="21" s="1"/>
  <c r="F189" i="21"/>
  <c r="G189" i="21" s="1"/>
  <c r="P360" i="21" l="1"/>
  <c r="Q360" i="21"/>
  <c r="M189" i="21"/>
  <c r="F20" i="27" s="1"/>
  <c r="L189" i="21"/>
  <c r="E20" i="27" s="1"/>
  <c r="H300" i="21"/>
  <c r="J300" i="21" s="1"/>
  <c r="D20" i="27"/>
  <c r="D190" i="21"/>
  <c r="P361" i="21" l="1"/>
  <c r="Q361" i="21"/>
  <c r="H301" i="21"/>
  <c r="J301" i="21" s="1"/>
  <c r="F190" i="21"/>
  <c r="G190" i="21" s="1"/>
  <c r="P362" i="21" l="1"/>
  <c r="Q362" i="21"/>
  <c r="M190" i="21"/>
  <c r="L190" i="21"/>
  <c r="H302" i="21"/>
  <c r="J302" i="21" s="1"/>
  <c r="D191" i="21"/>
  <c r="P363" i="21" l="1"/>
  <c r="P364" i="21" s="1"/>
  <c r="P365" i="21" s="1"/>
  <c r="P366" i="21" s="1"/>
  <c r="P367" i="21" s="1"/>
  <c r="P368" i="21" s="1"/>
  <c r="P369" i="21" s="1"/>
  <c r="P370" i="21" s="1"/>
  <c r="P371" i="21" s="1"/>
  <c r="P372" i="21" s="1"/>
  <c r="P373" i="21" s="1"/>
  <c r="P374" i="21" s="1"/>
  <c r="P375" i="21" s="1"/>
  <c r="P376" i="21" s="1"/>
  <c r="P377" i="21" s="1"/>
  <c r="P378" i="21" s="1"/>
  <c r="P379" i="21" s="1"/>
  <c r="P380" i="21" s="1"/>
  <c r="P381" i="21" s="1"/>
  <c r="P382" i="21" s="1"/>
  <c r="P383" i="21" s="1"/>
  <c r="P384" i="21" s="1"/>
  <c r="P385" i="21" s="1"/>
  <c r="P386" i="21" s="1"/>
  <c r="P387" i="21" s="1"/>
  <c r="P388" i="21" s="1"/>
  <c r="P389" i="21" s="1"/>
  <c r="P390" i="21" s="1"/>
  <c r="P391" i="21" s="1"/>
  <c r="P392" i="21" s="1"/>
  <c r="P393" i="21" s="1"/>
  <c r="P394" i="21" s="1"/>
  <c r="P395" i="21" s="1"/>
  <c r="P396" i="21" s="1"/>
  <c r="P397" i="21" s="1"/>
  <c r="P398" i="21" s="1"/>
  <c r="P399" i="21" s="1"/>
  <c r="P400" i="21" s="1"/>
  <c r="P401" i="21" s="1"/>
  <c r="P402" i="21" s="1"/>
  <c r="P403" i="21" s="1"/>
  <c r="P404" i="21" s="1"/>
  <c r="P405" i="21" s="1"/>
  <c r="P406" i="21" s="1"/>
  <c r="P407" i="21" s="1"/>
  <c r="P408" i="21" s="1"/>
  <c r="P409" i="21" s="1"/>
  <c r="P410" i="21" s="1"/>
  <c r="P411" i="21" s="1"/>
  <c r="P412" i="21" s="1"/>
  <c r="P413" i="21" s="1"/>
  <c r="P414" i="21" s="1"/>
  <c r="P415" i="21" s="1"/>
  <c r="P416" i="21" s="1"/>
  <c r="P417" i="21" s="1"/>
  <c r="P418" i="21" s="1"/>
  <c r="P419" i="21" s="1"/>
  <c r="P420" i="21" s="1"/>
  <c r="P421" i="21" s="1"/>
  <c r="P422" i="21" s="1"/>
  <c r="P423" i="21" s="1"/>
  <c r="P424" i="21" s="1"/>
  <c r="P425" i="21" s="1"/>
  <c r="P426" i="21" s="1"/>
  <c r="P427" i="21" s="1"/>
  <c r="P428" i="21" s="1"/>
  <c r="P429" i="21" s="1"/>
  <c r="P430" i="21" s="1"/>
  <c r="P431" i="21" s="1"/>
  <c r="P432" i="21" s="1"/>
  <c r="P433" i="21" s="1"/>
  <c r="P434" i="21" s="1"/>
  <c r="P435" i="21" s="1"/>
  <c r="P436" i="21" s="1"/>
  <c r="P437" i="21" s="1"/>
  <c r="P438" i="21" s="1"/>
  <c r="P439" i="21" s="1"/>
  <c r="P440" i="21" s="1"/>
  <c r="P441" i="21" s="1"/>
  <c r="P442" i="21" s="1"/>
  <c r="P443" i="21" s="1"/>
  <c r="P444" i="21" s="1"/>
  <c r="P445" i="21" s="1"/>
  <c r="P446" i="21" s="1"/>
  <c r="P447" i="21" s="1"/>
  <c r="P448" i="21" s="1"/>
  <c r="P449" i="21" s="1"/>
  <c r="P450" i="21" s="1"/>
  <c r="P451" i="21" s="1"/>
  <c r="P452" i="21" s="1"/>
  <c r="P453" i="21" s="1"/>
  <c r="P454" i="21" s="1"/>
  <c r="P455" i="21" s="1"/>
  <c r="P456" i="21" s="1"/>
  <c r="P457" i="21" s="1"/>
  <c r="P458" i="21" s="1"/>
  <c r="P459" i="21" s="1"/>
  <c r="P460" i="21" s="1"/>
  <c r="P461" i="21" s="1"/>
  <c r="P462" i="21" s="1"/>
  <c r="P463" i="21" s="1"/>
  <c r="P464" i="21" s="1"/>
  <c r="P465" i="21" s="1"/>
  <c r="P466" i="21" s="1"/>
  <c r="P467" i="21" s="1"/>
  <c r="P468" i="21" s="1"/>
  <c r="P469" i="21" s="1"/>
  <c r="P470" i="21" s="1"/>
  <c r="P471" i="21" s="1"/>
  <c r="P472" i="21" s="1"/>
  <c r="P473" i="21" s="1"/>
  <c r="P474" i="21" s="1"/>
  <c r="P475" i="21" s="1"/>
  <c r="P476" i="21" s="1"/>
  <c r="P477" i="21" s="1"/>
  <c r="P478" i="21" s="1"/>
  <c r="P479" i="21" s="1"/>
  <c r="P480" i="21" s="1"/>
  <c r="P481" i="21" s="1"/>
  <c r="P482" i="21" s="1"/>
  <c r="P483" i="21" s="1"/>
  <c r="P484" i="21" s="1"/>
  <c r="P485" i="21" s="1"/>
  <c r="P486" i="21" s="1"/>
  <c r="P487" i="21" s="1"/>
  <c r="P488" i="21" s="1"/>
  <c r="P489" i="21" s="1"/>
  <c r="P490" i="21" s="1"/>
  <c r="P491" i="21" s="1"/>
  <c r="P492" i="21" s="1"/>
  <c r="P493" i="21" s="1"/>
  <c r="P494" i="21" s="1"/>
  <c r="P495" i="21" s="1"/>
  <c r="P496" i="21" s="1"/>
  <c r="P497" i="21" s="1"/>
  <c r="P498" i="21" s="1"/>
  <c r="P499" i="21" s="1"/>
  <c r="P500" i="21" s="1"/>
  <c r="P501" i="21" s="1"/>
  <c r="P502" i="21" s="1"/>
  <c r="P503" i="21" s="1"/>
  <c r="P504" i="21" s="1"/>
  <c r="P505" i="21" s="1"/>
  <c r="P506" i="21" s="1"/>
  <c r="P507" i="21" s="1"/>
  <c r="P508" i="21" s="1"/>
  <c r="P509" i="21" s="1"/>
  <c r="P510" i="21" s="1"/>
  <c r="P511" i="21" s="1"/>
  <c r="P512" i="21" s="1"/>
  <c r="P513" i="21" s="1"/>
  <c r="P514" i="21" s="1"/>
  <c r="P515" i="21" s="1"/>
  <c r="P516" i="21" s="1"/>
  <c r="Q363" i="21"/>
  <c r="H303" i="21"/>
  <c r="J303" i="21" s="1"/>
  <c r="F191" i="21"/>
  <c r="G191" i="21" s="1"/>
  <c r="M191" i="21" l="1"/>
  <c r="L191" i="21"/>
  <c r="H304" i="21"/>
  <c r="J304" i="21" s="1"/>
  <c r="D192" i="21"/>
  <c r="H305" i="21" l="1"/>
  <c r="J305" i="21" s="1"/>
  <c r="F192" i="21"/>
  <c r="G192" i="21" s="1"/>
  <c r="M192" i="21" l="1"/>
  <c r="L192" i="21"/>
  <c r="H306" i="21"/>
  <c r="J306" i="21" s="1"/>
  <c r="D193" i="21"/>
  <c r="H307" i="21" l="1"/>
  <c r="J307" i="21" s="1"/>
  <c r="F193" i="21"/>
  <c r="G193" i="21" s="1"/>
  <c r="M193" i="21" l="1"/>
  <c r="L193" i="21"/>
  <c r="H308" i="21"/>
  <c r="J308" i="21" s="1"/>
  <c r="D194" i="21"/>
  <c r="H309" i="21" l="1"/>
  <c r="J309" i="21" s="1"/>
  <c r="F194" i="21"/>
  <c r="G194" i="21"/>
  <c r="M194" i="21" l="1"/>
  <c r="L194" i="21"/>
  <c r="H310" i="21"/>
  <c r="J310" i="21" s="1"/>
  <c r="D195" i="21"/>
  <c r="H311" i="21" l="1"/>
  <c r="J311" i="21" s="1"/>
  <c r="F195" i="21"/>
  <c r="G195" i="21"/>
  <c r="M195" i="21" l="1"/>
  <c r="L195" i="21"/>
  <c r="H312" i="21"/>
  <c r="J312" i="21" s="1"/>
  <c r="D196" i="21"/>
  <c r="H313" i="21" l="1"/>
  <c r="J313" i="21" s="1"/>
  <c r="F196" i="21"/>
  <c r="G196" i="21"/>
  <c r="M196" i="21" l="1"/>
  <c r="L196" i="21"/>
  <c r="H314" i="21"/>
  <c r="J314" i="21" s="1"/>
  <c r="D197" i="21"/>
  <c r="H315" i="21" l="1"/>
  <c r="J315" i="21" s="1"/>
  <c r="F197" i="21"/>
  <c r="G197" i="21" s="1"/>
  <c r="M197" i="21" l="1"/>
  <c r="L197" i="21"/>
  <c r="H316" i="21"/>
  <c r="J316" i="21" s="1"/>
  <c r="D198" i="21"/>
  <c r="H317" i="21" l="1"/>
  <c r="J317" i="21" s="1"/>
  <c r="F198" i="21"/>
  <c r="G198" i="21"/>
  <c r="M198" i="21" l="1"/>
  <c r="L198" i="21"/>
  <c r="H318" i="21"/>
  <c r="J318" i="21" s="1"/>
  <c r="D199" i="21"/>
  <c r="H319" i="21" l="1"/>
  <c r="J319" i="21" s="1"/>
  <c r="F199" i="21"/>
  <c r="G199" i="21"/>
  <c r="M199" i="21" l="1"/>
  <c r="L199" i="21"/>
  <c r="H320" i="21"/>
  <c r="J320" i="21" s="1"/>
  <c r="D200" i="21"/>
  <c r="H321" i="21" l="1"/>
  <c r="J321" i="21" s="1"/>
  <c r="F200" i="21"/>
  <c r="G200" i="21"/>
  <c r="M200" i="21" l="1"/>
  <c r="L200" i="21"/>
  <c r="S201" i="21" s="1"/>
  <c r="H322" i="21"/>
  <c r="J322" i="21" s="1"/>
  <c r="D201" i="21"/>
  <c r="T201" i="21" l="1"/>
  <c r="V201" i="21" s="1"/>
  <c r="U213" i="21"/>
  <c r="H323" i="21"/>
  <c r="J323" i="21" s="1"/>
  <c r="F201" i="21"/>
  <c r="G201" i="21" s="1"/>
  <c r="M201" i="21" l="1"/>
  <c r="F21" i="27" s="1"/>
  <c r="L201" i="21"/>
  <c r="E21" i="27" s="1"/>
  <c r="H324" i="21"/>
  <c r="J324" i="21" s="1"/>
  <c r="D202" i="21"/>
  <c r="D21" i="27"/>
  <c r="H325" i="21" l="1"/>
  <c r="J325" i="21" s="1"/>
  <c r="F202" i="21"/>
  <c r="G202" i="21" s="1"/>
  <c r="M202" i="21" l="1"/>
  <c r="L202" i="21"/>
  <c r="H326" i="21"/>
  <c r="J326" i="21" s="1"/>
  <c r="D203" i="21"/>
  <c r="H327" i="21" l="1"/>
  <c r="J327" i="21" s="1"/>
  <c r="F203" i="21"/>
  <c r="G203" i="21" s="1"/>
  <c r="M203" i="21" l="1"/>
  <c r="L203" i="21"/>
  <c r="H328" i="21"/>
  <c r="J328" i="21" s="1"/>
  <c r="D204" i="21"/>
  <c r="H329" i="21" l="1"/>
  <c r="J329" i="21" s="1"/>
  <c r="F204" i="21"/>
  <c r="G204" i="21" s="1"/>
  <c r="M204" i="21" l="1"/>
  <c r="L204" i="21"/>
  <c r="H330" i="21"/>
  <c r="J330" i="21" s="1"/>
  <c r="D205" i="21"/>
  <c r="H331" i="21" l="1"/>
  <c r="J331" i="21" s="1"/>
  <c r="F205" i="21"/>
  <c r="G205" i="21" s="1"/>
  <c r="M205" i="21" l="1"/>
  <c r="L205" i="21"/>
  <c r="H332" i="21"/>
  <c r="J332" i="21" s="1"/>
  <c r="D206" i="21"/>
  <c r="H333" i="21" l="1"/>
  <c r="J333" i="21" s="1"/>
  <c r="F206" i="21"/>
  <c r="G206" i="21" s="1"/>
  <c r="M206" i="21" l="1"/>
  <c r="L206" i="21"/>
  <c r="H334" i="21"/>
  <c r="J334" i="21" s="1"/>
  <c r="D207" i="21"/>
  <c r="H335" i="21" l="1"/>
  <c r="J335" i="21" s="1"/>
  <c r="F207" i="21"/>
  <c r="G207" i="21" s="1"/>
  <c r="M207" i="21" l="1"/>
  <c r="L207" i="21"/>
  <c r="H336" i="21"/>
  <c r="J336" i="21" s="1"/>
  <c r="D208" i="21"/>
  <c r="H337" i="21" l="1"/>
  <c r="J337" i="21" s="1"/>
  <c r="F208" i="21"/>
  <c r="G208" i="21" s="1"/>
  <c r="M208" i="21" l="1"/>
  <c r="L208" i="21"/>
  <c r="H338" i="21"/>
  <c r="J338" i="21" s="1"/>
  <c r="D209" i="21"/>
  <c r="H339" i="21" l="1"/>
  <c r="J339" i="21" s="1"/>
  <c r="F209" i="21"/>
  <c r="G209" i="21" s="1"/>
  <c r="M209" i="21" l="1"/>
  <c r="L209" i="21"/>
  <c r="H340" i="21"/>
  <c r="J340" i="21" s="1"/>
  <c r="D210" i="21"/>
  <c r="H341" i="21" l="1"/>
  <c r="J341" i="21" s="1"/>
  <c r="F210" i="21"/>
  <c r="G210" i="21"/>
  <c r="M210" i="21" l="1"/>
  <c r="L210" i="21"/>
  <c r="H342" i="21"/>
  <c r="J342" i="21" s="1"/>
  <c r="D211" i="21"/>
  <c r="H343" i="21" l="1"/>
  <c r="J343" i="21" s="1"/>
  <c r="F211" i="21"/>
  <c r="G211" i="21" s="1"/>
  <c r="M211" i="21" l="1"/>
  <c r="L211" i="21"/>
  <c r="H344" i="21"/>
  <c r="J344" i="21" s="1"/>
  <c r="D212" i="21"/>
  <c r="H345" i="21" l="1"/>
  <c r="J345" i="21" s="1"/>
  <c r="F212" i="21"/>
  <c r="G212" i="21" s="1"/>
  <c r="M212" i="21" l="1"/>
  <c r="L212" i="21"/>
  <c r="S213" i="21" s="1"/>
  <c r="H346" i="21"/>
  <c r="J346" i="21" s="1"/>
  <c r="D213" i="21"/>
  <c r="U225" i="21" l="1"/>
  <c r="T213" i="21"/>
  <c r="V213" i="21" s="1"/>
  <c r="H347" i="21"/>
  <c r="J347" i="21" s="1"/>
  <c r="F213" i="21"/>
  <c r="G213" i="21" s="1"/>
  <c r="M213" i="21" l="1"/>
  <c r="F22" i="27" s="1"/>
  <c r="L213" i="21"/>
  <c r="E22" i="27" s="1"/>
  <c r="H348" i="21"/>
  <c r="J348" i="21" s="1"/>
  <c r="D22" i="27"/>
  <c r="D214" i="21"/>
  <c r="H349" i="21" l="1"/>
  <c r="J349" i="21" s="1"/>
  <c r="F214" i="21"/>
  <c r="G214" i="21" s="1"/>
  <c r="M214" i="21" l="1"/>
  <c r="L214" i="21"/>
  <c r="H350" i="21"/>
  <c r="J350" i="21" s="1"/>
  <c r="D215" i="21"/>
  <c r="H351" i="21" l="1"/>
  <c r="J351" i="21" s="1"/>
  <c r="F215" i="21"/>
  <c r="G215" i="21" s="1"/>
  <c r="M215" i="21" l="1"/>
  <c r="L215" i="21"/>
  <c r="H352" i="21"/>
  <c r="J352" i="21" s="1"/>
  <c r="D216" i="21"/>
  <c r="H353" i="21" l="1"/>
  <c r="J353" i="21" s="1"/>
  <c r="F216" i="21"/>
  <c r="G216" i="21" s="1"/>
  <c r="M216" i="21" l="1"/>
  <c r="L216" i="21"/>
  <c r="H354" i="21"/>
  <c r="J354" i="21" s="1"/>
  <c r="D217" i="21"/>
  <c r="H355" i="21" l="1"/>
  <c r="J355" i="21" s="1"/>
  <c r="F217" i="21"/>
  <c r="G217" i="21" s="1"/>
  <c r="M217" i="21" l="1"/>
  <c r="L217" i="21"/>
  <c r="H356" i="21"/>
  <c r="J356" i="21" s="1"/>
  <c r="D218" i="21"/>
  <c r="H357" i="21" l="1"/>
  <c r="J357" i="21" s="1"/>
  <c r="F218" i="21"/>
  <c r="G218" i="21"/>
  <c r="M218" i="21" l="1"/>
  <c r="L218" i="21"/>
  <c r="H358" i="21"/>
  <c r="J358" i="21" s="1"/>
  <c r="D219" i="21"/>
  <c r="H359" i="21" l="1"/>
  <c r="J359" i="21" s="1"/>
  <c r="F219" i="21"/>
  <c r="G219" i="21"/>
  <c r="M219" i="21" l="1"/>
  <c r="L219" i="21"/>
  <c r="H360" i="21"/>
  <c r="J360" i="21" s="1"/>
  <c r="D220" i="21"/>
  <c r="H361" i="21" l="1"/>
  <c r="J361" i="21" s="1"/>
  <c r="F220" i="21"/>
  <c r="G220" i="21" s="1"/>
  <c r="M220" i="21" l="1"/>
  <c r="L220" i="21"/>
  <c r="H362" i="21"/>
  <c r="J362" i="21" s="1"/>
  <c r="D221" i="21"/>
  <c r="H363" i="21" l="1"/>
  <c r="J363" i="21" s="1"/>
  <c r="F221" i="21"/>
  <c r="G221" i="21"/>
  <c r="M221" i="21" l="1"/>
  <c r="L221" i="21"/>
  <c r="D222" i="21"/>
  <c r="F222" i="21" l="1"/>
  <c r="G222" i="21" s="1"/>
  <c r="M222" i="21" l="1"/>
  <c r="L222" i="21"/>
  <c r="D223" i="21"/>
  <c r="F223" i="21" l="1"/>
  <c r="G223" i="21" s="1"/>
  <c r="M223" i="21" l="1"/>
  <c r="L223" i="21"/>
  <c r="D224" i="21"/>
  <c r="F224" i="21" l="1"/>
  <c r="G224" i="21" s="1"/>
  <c r="M224" i="21" l="1"/>
  <c r="L224" i="21"/>
  <c r="S225" i="21" s="1"/>
  <c r="D225" i="21"/>
  <c r="T225" i="21" l="1"/>
  <c r="V225" i="21" s="1"/>
  <c r="U237" i="21"/>
  <c r="F225" i="21"/>
  <c r="G225" i="21" s="1"/>
  <c r="M225" i="21" l="1"/>
  <c r="F23" i="27" s="1"/>
  <c r="L225" i="21"/>
  <c r="E23" i="27" s="1"/>
  <c r="D226" i="21"/>
  <c r="D23" i="27"/>
  <c r="F226" i="21" l="1"/>
  <c r="G226" i="21" s="1"/>
  <c r="M226" i="21" l="1"/>
  <c r="L226" i="21"/>
  <c r="D227" i="21"/>
  <c r="F227" i="21" l="1"/>
  <c r="G227" i="21" s="1"/>
  <c r="M227" i="21" l="1"/>
  <c r="L227" i="21"/>
  <c r="D228" i="21"/>
  <c r="F228" i="21" l="1"/>
  <c r="G228" i="21" s="1"/>
  <c r="M228" i="21" l="1"/>
  <c r="L228" i="21"/>
  <c r="D229" i="21"/>
  <c r="F229" i="21" l="1"/>
  <c r="G229" i="21" s="1"/>
  <c r="M229" i="21" l="1"/>
  <c r="L229" i="21"/>
  <c r="D230" i="21"/>
  <c r="F230" i="21" l="1"/>
  <c r="G230" i="21" s="1"/>
  <c r="M230" i="21" l="1"/>
  <c r="L230" i="21"/>
  <c r="D231" i="21"/>
  <c r="F231" i="21" l="1"/>
  <c r="G231" i="21" s="1"/>
  <c r="M231" i="21" l="1"/>
  <c r="L231" i="21"/>
  <c r="D232" i="21"/>
  <c r="F232" i="21" l="1"/>
  <c r="G232" i="21" s="1"/>
  <c r="M232" i="21" l="1"/>
  <c r="L232" i="21"/>
  <c r="D233" i="21"/>
  <c r="F233" i="21" l="1"/>
  <c r="G233" i="21" s="1"/>
  <c r="M233" i="21" l="1"/>
  <c r="L233" i="21"/>
  <c r="D234" i="21"/>
  <c r="F234" i="21" l="1"/>
  <c r="G234" i="21" s="1"/>
  <c r="M234" i="21" l="1"/>
  <c r="L234" i="21"/>
  <c r="D235" i="21"/>
  <c r="F235" i="21" l="1"/>
  <c r="G235" i="21" s="1"/>
  <c r="M235" i="21" l="1"/>
  <c r="L235" i="21"/>
  <c r="D236" i="21"/>
  <c r="F236" i="21" l="1"/>
  <c r="G236" i="21" s="1"/>
  <c r="M236" i="21" l="1"/>
  <c r="L236" i="21"/>
  <c r="S237" i="21" s="1"/>
  <c r="D237" i="21"/>
  <c r="U249" i="21" l="1"/>
  <c r="T237" i="21"/>
  <c r="V237" i="21" s="1"/>
  <c r="F237" i="21"/>
  <c r="G237" i="21"/>
  <c r="M237" i="21" l="1"/>
  <c r="F24" i="27" s="1"/>
  <c r="L237" i="21"/>
  <c r="E24" i="27" s="1"/>
  <c r="D238" i="21"/>
  <c r="D24" i="27"/>
  <c r="F238" i="21" l="1"/>
  <c r="G238" i="21" s="1"/>
  <c r="M238" i="21" l="1"/>
  <c r="L238" i="21"/>
  <c r="D239" i="21"/>
  <c r="F239" i="21" l="1"/>
  <c r="G239" i="21" s="1"/>
  <c r="M239" i="21" l="1"/>
  <c r="L239" i="21"/>
  <c r="D240" i="21"/>
  <c r="F240" i="21" l="1"/>
  <c r="G240" i="21" s="1"/>
  <c r="M240" i="21" l="1"/>
  <c r="L240" i="21"/>
  <c r="D241" i="21"/>
  <c r="F241" i="21" l="1"/>
  <c r="G241" i="21" s="1"/>
  <c r="M241" i="21" l="1"/>
  <c r="L241" i="21"/>
  <c r="D242" i="21"/>
  <c r="F242" i="21" l="1"/>
  <c r="G242" i="21" s="1"/>
  <c r="M242" i="21" l="1"/>
  <c r="L242" i="21"/>
  <c r="D243" i="21"/>
  <c r="F243" i="21" l="1"/>
  <c r="G243" i="21" s="1"/>
  <c r="M243" i="21" l="1"/>
  <c r="L243" i="21"/>
  <c r="D244" i="21"/>
  <c r="F244" i="21" l="1"/>
  <c r="G244" i="21" s="1"/>
  <c r="M244" i="21" l="1"/>
  <c r="L244" i="21"/>
  <c r="D245" i="21"/>
  <c r="F245" i="21" l="1"/>
  <c r="G245" i="21" s="1"/>
  <c r="M245" i="21" l="1"/>
  <c r="L245" i="21"/>
  <c r="D246" i="21"/>
  <c r="F246" i="21" l="1"/>
  <c r="G246" i="21" s="1"/>
  <c r="M246" i="21" l="1"/>
  <c r="L246" i="21"/>
  <c r="D247" i="21"/>
  <c r="F247" i="21" l="1"/>
  <c r="G247" i="21" s="1"/>
  <c r="M247" i="21" l="1"/>
  <c r="L247" i="21"/>
  <c r="D248" i="21"/>
  <c r="F248" i="21" l="1"/>
  <c r="G248" i="21" s="1"/>
  <c r="M248" i="21" l="1"/>
  <c r="L248" i="21"/>
  <c r="S249" i="21" s="1"/>
  <c r="D249" i="21"/>
  <c r="T249" i="21" l="1"/>
  <c r="V249" i="21" s="1"/>
  <c r="U261" i="21"/>
  <c r="F249" i="21"/>
  <c r="G249" i="21" s="1"/>
  <c r="M249" i="21" l="1"/>
  <c r="F25" i="27" s="1"/>
  <c r="L249" i="21"/>
  <c r="E25" i="27" s="1"/>
  <c r="D25" i="27"/>
  <c r="D250" i="21"/>
  <c r="F250" i="21" l="1"/>
  <c r="G250" i="21" s="1"/>
  <c r="M250" i="21" l="1"/>
  <c r="L250" i="21"/>
  <c r="D251" i="21"/>
  <c r="F251" i="21" l="1"/>
  <c r="G251" i="21" s="1"/>
  <c r="M251" i="21" l="1"/>
  <c r="L251" i="21"/>
  <c r="D252" i="21"/>
  <c r="F252" i="21" l="1"/>
  <c r="G252" i="21" s="1"/>
  <c r="M252" i="21" l="1"/>
  <c r="L252" i="21"/>
  <c r="D253" i="21"/>
  <c r="F253" i="21" l="1"/>
  <c r="G253" i="21" s="1"/>
  <c r="M253" i="21" l="1"/>
  <c r="L253" i="21"/>
  <c r="D254" i="21"/>
  <c r="F254" i="21" l="1"/>
  <c r="G254" i="21" s="1"/>
  <c r="M254" i="21" l="1"/>
  <c r="L254" i="21"/>
  <c r="D255" i="21"/>
  <c r="F255" i="21" l="1"/>
  <c r="G255" i="21" s="1"/>
  <c r="M255" i="21" l="1"/>
  <c r="L255" i="21"/>
  <c r="D256" i="21"/>
  <c r="F256" i="21" l="1"/>
  <c r="G256" i="21" s="1"/>
  <c r="M256" i="21" l="1"/>
  <c r="L256" i="21"/>
  <c r="D257" i="21"/>
  <c r="F257" i="21" l="1"/>
  <c r="G257" i="21" s="1"/>
  <c r="M257" i="21" l="1"/>
  <c r="L257" i="21"/>
  <c r="D258" i="21"/>
  <c r="F258" i="21" l="1"/>
  <c r="G258" i="21" s="1"/>
  <c r="M258" i="21" l="1"/>
  <c r="L258" i="21"/>
  <c r="D259" i="21"/>
  <c r="F259" i="21" l="1"/>
  <c r="G259" i="21" s="1"/>
  <c r="M259" i="21" l="1"/>
  <c r="L259" i="21"/>
  <c r="D260" i="21"/>
  <c r="F260" i="21" l="1"/>
  <c r="G260" i="21" s="1"/>
  <c r="M260" i="21" l="1"/>
  <c r="L260" i="21"/>
  <c r="S261" i="21" s="1"/>
  <c r="D261" i="21"/>
  <c r="T261" i="21" l="1"/>
  <c r="V261" i="21" s="1"/>
  <c r="U273" i="21"/>
  <c r="F261" i="21"/>
  <c r="G261" i="21" s="1"/>
  <c r="M261" i="21" l="1"/>
  <c r="F26" i="27" s="1"/>
  <c r="L261" i="21"/>
  <c r="E26" i="27" s="1"/>
  <c r="D26" i="27"/>
  <c r="D262" i="21"/>
  <c r="F262" i="21" l="1"/>
  <c r="G262" i="21" s="1"/>
  <c r="M262" i="21" l="1"/>
  <c r="L262" i="21"/>
  <c r="D263" i="21"/>
  <c r="F263" i="21" l="1"/>
  <c r="G263" i="21" s="1"/>
  <c r="M263" i="21" l="1"/>
  <c r="L263" i="21"/>
  <c r="D264" i="21"/>
  <c r="F264" i="21" l="1"/>
  <c r="G264" i="21" s="1"/>
  <c r="M264" i="21" l="1"/>
  <c r="L264" i="21"/>
  <c r="D265" i="21"/>
  <c r="F265" i="21" l="1"/>
  <c r="G265" i="21" s="1"/>
  <c r="M265" i="21" l="1"/>
  <c r="L265" i="21"/>
  <c r="D266" i="21"/>
  <c r="F266" i="21" l="1"/>
  <c r="G266" i="21" s="1"/>
  <c r="M266" i="21" l="1"/>
  <c r="L266" i="21"/>
  <c r="D267" i="21"/>
  <c r="F267" i="21" l="1"/>
  <c r="G267" i="21" s="1"/>
  <c r="M267" i="21" l="1"/>
  <c r="L267" i="21"/>
  <c r="D268" i="21"/>
  <c r="F268" i="21" l="1"/>
  <c r="G268" i="21" s="1"/>
  <c r="M268" i="21" l="1"/>
  <c r="L268" i="21"/>
  <c r="D269" i="21"/>
  <c r="F269" i="21" l="1"/>
  <c r="G269" i="21" s="1"/>
  <c r="M269" i="21" l="1"/>
  <c r="L269" i="21"/>
  <c r="D270" i="21"/>
  <c r="F270" i="21" l="1"/>
  <c r="G270" i="21" s="1"/>
  <c r="M270" i="21" l="1"/>
  <c r="L270" i="21"/>
  <c r="D271" i="21"/>
  <c r="F271" i="21" l="1"/>
  <c r="G271" i="21" s="1"/>
  <c r="M271" i="21" l="1"/>
  <c r="L271" i="21"/>
  <c r="D272" i="21"/>
  <c r="F272" i="21" l="1"/>
  <c r="G272" i="21" s="1"/>
  <c r="M272" i="21" l="1"/>
  <c r="L272" i="21"/>
  <c r="S273" i="21" s="1"/>
  <c r="D273" i="21"/>
  <c r="T273" i="21" l="1"/>
  <c r="V273" i="21" s="1"/>
  <c r="U285" i="21"/>
  <c r="F273" i="21"/>
  <c r="G273" i="21" s="1"/>
  <c r="M273" i="21" l="1"/>
  <c r="F27" i="27" s="1"/>
  <c r="L273" i="21"/>
  <c r="E27" i="27" s="1"/>
  <c r="D274" i="21"/>
  <c r="D27" i="27"/>
  <c r="F274" i="21" l="1"/>
  <c r="G274" i="21" s="1"/>
  <c r="M274" i="21" l="1"/>
  <c r="L274" i="21"/>
  <c r="D275" i="21"/>
  <c r="F275" i="21" l="1"/>
  <c r="G275" i="21" s="1"/>
  <c r="M275" i="21" l="1"/>
  <c r="L275" i="21"/>
  <c r="D276" i="21"/>
  <c r="F276" i="21" l="1"/>
  <c r="G276" i="21" s="1"/>
  <c r="M276" i="21" l="1"/>
  <c r="L276" i="21"/>
  <c r="D277" i="21"/>
  <c r="F277" i="21" l="1"/>
  <c r="G277" i="21" s="1"/>
  <c r="M277" i="21" l="1"/>
  <c r="L277" i="21"/>
  <c r="D278" i="21"/>
  <c r="F278" i="21" l="1"/>
  <c r="G278" i="21" s="1"/>
  <c r="M278" i="21" l="1"/>
  <c r="L278" i="21"/>
  <c r="D279" i="21"/>
  <c r="F279" i="21" l="1"/>
  <c r="G279" i="21" s="1"/>
  <c r="M279" i="21" l="1"/>
  <c r="L279" i="21"/>
  <c r="D280" i="21"/>
  <c r="F280" i="21" l="1"/>
  <c r="G280" i="21" s="1"/>
  <c r="M280" i="21" l="1"/>
  <c r="L280" i="21"/>
  <c r="D281" i="21"/>
  <c r="F281" i="21" l="1"/>
  <c r="G281" i="21" s="1"/>
  <c r="M281" i="21" l="1"/>
  <c r="L281" i="21"/>
  <c r="D282" i="21"/>
  <c r="F282" i="21" l="1"/>
  <c r="G282" i="21" s="1"/>
  <c r="M282" i="21" l="1"/>
  <c r="L282" i="21"/>
  <c r="D283" i="21"/>
  <c r="F283" i="21" l="1"/>
  <c r="G283" i="21" s="1"/>
  <c r="M283" i="21" l="1"/>
  <c r="L283" i="21"/>
  <c r="D284" i="21"/>
  <c r="F284" i="21" l="1"/>
  <c r="G284" i="21" s="1"/>
  <c r="M284" i="21" l="1"/>
  <c r="L284" i="21"/>
  <c r="S285" i="21" s="1"/>
  <c r="D285" i="21"/>
  <c r="T285" i="21" l="1"/>
  <c r="V285" i="21" s="1"/>
  <c r="U297" i="21"/>
  <c r="F285" i="21"/>
  <c r="G285" i="21" s="1"/>
  <c r="M285" i="21" l="1"/>
  <c r="F28" i="27" s="1"/>
  <c r="L285" i="21"/>
  <c r="E28" i="27" s="1"/>
  <c r="D28" i="27"/>
  <c r="D286" i="21"/>
  <c r="F286" i="21" l="1"/>
  <c r="G286" i="21" s="1"/>
  <c r="M286" i="21" l="1"/>
  <c r="L286" i="21"/>
  <c r="D287" i="21"/>
  <c r="F287" i="21" l="1"/>
  <c r="G287" i="21" s="1"/>
  <c r="M287" i="21" l="1"/>
  <c r="L287" i="21"/>
  <c r="D288" i="21"/>
  <c r="F288" i="21" l="1"/>
  <c r="G288" i="21" s="1"/>
  <c r="M288" i="21" l="1"/>
  <c r="L288" i="21"/>
  <c r="D289" i="21"/>
  <c r="F289" i="21" l="1"/>
  <c r="G289" i="21" s="1"/>
  <c r="M289" i="21" l="1"/>
  <c r="L289" i="21"/>
  <c r="D290" i="21"/>
  <c r="F290" i="21" l="1"/>
  <c r="G290" i="21" s="1"/>
  <c r="M290" i="21" l="1"/>
  <c r="L290" i="21"/>
  <c r="D291" i="21"/>
  <c r="F291" i="21" l="1"/>
  <c r="G291" i="21" s="1"/>
  <c r="M291" i="21" l="1"/>
  <c r="L291" i="21"/>
  <c r="D292" i="21"/>
  <c r="F292" i="21" l="1"/>
  <c r="G292" i="21" s="1"/>
  <c r="M292" i="21" l="1"/>
  <c r="L292" i="21"/>
  <c r="D293" i="21"/>
  <c r="F293" i="21" l="1"/>
  <c r="G293" i="21" s="1"/>
  <c r="M293" i="21" l="1"/>
  <c r="L293" i="21"/>
  <c r="D294" i="21"/>
  <c r="F294" i="21" l="1"/>
  <c r="G294" i="21" s="1"/>
  <c r="M294" i="21" l="1"/>
  <c r="L294" i="21"/>
  <c r="D295" i="21"/>
  <c r="F295" i="21" l="1"/>
  <c r="G295" i="21" s="1"/>
  <c r="M295" i="21" l="1"/>
  <c r="L295" i="21"/>
  <c r="D296" i="21"/>
  <c r="F296" i="21" l="1"/>
  <c r="G296" i="21" s="1"/>
  <c r="M296" i="21" l="1"/>
  <c r="L296" i="21"/>
  <c r="S297" i="21" s="1"/>
  <c r="D297" i="21"/>
  <c r="T297" i="21" l="1"/>
  <c r="V297" i="21" s="1"/>
  <c r="U309" i="21"/>
  <c r="F297" i="21"/>
  <c r="G297" i="21" s="1"/>
  <c r="M297" i="21" l="1"/>
  <c r="F29" i="27" s="1"/>
  <c r="L297" i="21"/>
  <c r="E29" i="27" s="1"/>
  <c r="D29" i="27"/>
  <c r="D298" i="21"/>
  <c r="F298" i="21" l="1"/>
  <c r="G298" i="21" s="1"/>
  <c r="M298" i="21" l="1"/>
  <c r="L298" i="21"/>
  <c r="D299" i="21"/>
  <c r="F299" i="21" l="1"/>
  <c r="G299" i="21" s="1"/>
  <c r="M299" i="21" l="1"/>
  <c r="L299" i="21"/>
  <c r="D300" i="21"/>
  <c r="F300" i="21" l="1"/>
  <c r="G300" i="21" s="1"/>
  <c r="M300" i="21" l="1"/>
  <c r="L300" i="21"/>
  <c r="D301" i="21"/>
  <c r="F301" i="21" l="1"/>
  <c r="G301" i="21" s="1"/>
  <c r="M301" i="21" l="1"/>
  <c r="L301" i="21"/>
  <c r="D302" i="21"/>
  <c r="F302" i="21" l="1"/>
  <c r="G302" i="21" s="1"/>
  <c r="M302" i="21" l="1"/>
  <c r="L302" i="21"/>
  <c r="D303" i="21"/>
  <c r="F303" i="21" l="1"/>
  <c r="G303" i="21" s="1"/>
  <c r="M303" i="21" l="1"/>
  <c r="L303" i="21"/>
  <c r="D304" i="21"/>
  <c r="F304" i="21" l="1"/>
  <c r="G304" i="21" s="1"/>
  <c r="M304" i="21" l="1"/>
  <c r="L304" i="21"/>
  <c r="D305" i="21"/>
  <c r="F305" i="21" l="1"/>
  <c r="G305" i="21" s="1"/>
  <c r="M305" i="21" l="1"/>
  <c r="L305" i="21"/>
  <c r="D306" i="21"/>
  <c r="F306" i="21" l="1"/>
  <c r="G306" i="21" s="1"/>
  <c r="M306" i="21" l="1"/>
  <c r="L306" i="21"/>
  <c r="D307" i="21"/>
  <c r="F307" i="21" l="1"/>
  <c r="G307" i="21" s="1"/>
  <c r="M307" i="21" l="1"/>
  <c r="L307" i="21"/>
  <c r="D308" i="21"/>
  <c r="F308" i="21" l="1"/>
  <c r="G308" i="21" s="1"/>
  <c r="M308" i="21" l="1"/>
  <c r="L308" i="21"/>
  <c r="S309" i="21" s="1"/>
  <c r="D309" i="21"/>
  <c r="T309" i="21" l="1"/>
  <c r="V309" i="21" s="1"/>
  <c r="U321" i="21"/>
  <c r="F309" i="21"/>
  <c r="G309" i="21" s="1"/>
  <c r="M309" i="21" l="1"/>
  <c r="F30" i="27" s="1"/>
  <c r="L309" i="21"/>
  <c r="D30" i="27"/>
  <c r="D310" i="21"/>
  <c r="F310" i="21" l="1"/>
  <c r="G310" i="21" s="1"/>
  <c r="M310" i="21" l="1"/>
  <c r="L310" i="21"/>
  <c r="D311" i="21"/>
  <c r="F311" i="21" l="1"/>
  <c r="G311" i="21" s="1"/>
  <c r="M311" i="21" l="1"/>
  <c r="L311" i="21"/>
  <c r="D312" i="21"/>
  <c r="F312" i="21" l="1"/>
  <c r="G312" i="21" s="1"/>
  <c r="M312" i="21" l="1"/>
  <c r="L312" i="21"/>
  <c r="D313" i="21"/>
  <c r="F313" i="21" l="1"/>
  <c r="G313" i="21" s="1"/>
  <c r="M313" i="21" l="1"/>
  <c r="L313" i="21"/>
  <c r="D314" i="21"/>
  <c r="F314" i="21" l="1"/>
  <c r="G314" i="21" s="1"/>
  <c r="M314" i="21" l="1"/>
  <c r="L314" i="21"/>
  <c r="D315" i="21"/>
  <c r="F315" i="21" l="1"/>
  <c r="G315" i="21" s="1"/>
  <c r="M315" i="21" l="1"/>
  <c r="L315" i="21"/>
  <c r="D316" i="21"/>
  <c r="F316" i="21" l="1"/>
  <c r="G316" i="21" s="1"/>
  <c r="M316" i="21" l="1"/>
  <c r="L316" i="21"/>
  <c r="D317" i="21"/>
  <c r="F317" i="21" l="1"/>
  <c r="G317" i="21" s="1"/>
  <c r="M317" i="21" l="1"/>
  <c r="L317" i="21"/>
  <c r="D318" i="21"/>
  <c r="F318" i="21" l="1"/>
  <c r="G318" i="21" s="1"/>
  <c r="M318" i="21" l="1"/>
  <c r="L318" i="21"/>
  <c r="D319" i="21"/>
  <c r="F319" i="21" l="1"/>
  <c r="G319" i="21" s="1"/>
  <c r="M319" i="21" l="1"/>
  <c r="L319" i="21"/>
  <c r="D320" i="21"/>
  <c r="F320" i="21" l="1"/>
  <c r="G320" i="21" s="1"/>
  <c r="M320" i="21" l="1"/>
  <c r="L320" i="21"/>
  <c r="S321" i="21" s="1"/>
  <c r="T321" i="21" s="1"/>
  <c r="V321" i="21" s="1"/>
  <c r="D321" i="21"/>
  <c r="F321" i="21" l="1"/>
  <c r="G321" i="21" s="1"/>
  <c r="M321" i="21" l="1"/>
  <c r="L321" i="21"/>
  <c r="D322" i="21"/>
  <c r="F322" i="21" l="1"/>
  <c r="G322" i="21" s="1"/>
  <c r="M322" i="21" l="1"/>
  <c r="L322" i="21"/>
  <c r="D323" i="21"/>
  <c r="F323" i="21" l="1"/>
  <c r="G323" i="21" s="1"/>
  <c r="M323" i="21" l="1"/>
  <c r="L323" i="21"/>
  <c r="D324" i="21"/>
  <c r="F324" i="21" l="1"/>
  <c r="G324" i="21" s="1"/>
  <c r="M324" i="21" l="1"/>
  <c r="L324" i="21"/>
  <c r="D325" i="21"/>
  <c r="F325" i="21" l="1"/>
  <c r="G325" i="21" s="1"/>
  <c r="M325" i="21" l="1"/>
  <c r="L325" i="21"/>
  <c r="D326" i="21"/>
  <c r="F326" i="21" l="1"/>
  <c r="G326" i="21" s="1"/>
  <c r="M326" i="21" l="1"/>
  <c r="L326" i="21"/>
  <c r="D327" i="21"/>
  <c r="F327" i="21" l="1"/>
  <c r="G327" i="21" s="1"/>
  <c r="M327" i="21" l="1"/>
  <c r="L327" i="21"/>
  <c r="D328" i="21"/>
  <c r="F328" i="21" l="1"/>
  <c r="G328" i="21" s="1"/>
  <c r="M328" i="21" l="1"/>
  <c r="L328" i="21"/>
  <c r="D329" i="21"/>
  <c r="F329" i="21" l="1"/>
  <c r="G329" i="21" s="1"/>
  <c r="M329" i="21" l="1"/>
  <c r="L329" i="21"/>
  <c r="D330" i="21"/>
  <c r="F330" i="21" l="1"/>
  <c r="G330" i="21" s="1"/>
  <c r="M330" i="21" l="1"/>
  <c r="L330" i="21"/>
  <c r="D331" i="21"/>
  <c r="F331" i="21" l="1"/>
  <c r="G331" i="21" s="1"/>
  <c r="L331" i="21" s="1"/>
  <c r="D332" i="21" l="1"/>
  <c r="F332" i="21" s="1"/>
  <c r="G332" i="21" s="1"/>
  <c r="L332" i="21" s="1"/>
  <c r="M331" i="21"/>
  <c r="D333" i="21" l="1"/>
  <c r="F333" i="21" s="1"/>
  <c r="G333" i="21" s="1"/>
  <c r="L333" i="21" s="1"/>
  <c r="M332" i="21"/>
  <c r="D334" i="21" l="1"/>
  <c r="F334" i="21" s="1"/>
  <c r="G334" i="21" s="1"/>
  <c r="L334" i="21" s="1"/>
  <c r="M333" i="21"/>
  <c r="D335" i="21" l="1"/>
  <c r="F335" i="21" s="1"/>
  <c r="G335" i="21" s="1"/>
  <c r="L335" i="21" s="1"/>
  <c r="M334" i="21"/>
  <c r="D336" i="21" l="1"/>
  <c r="F336" i="21" s="1"/>
  <c r="G336" i="21" s="1"/>
  <c r="L336" i="21" s="1"/>
  <c r="M335" i="21"/>
  <c r="D337" i="21" l="1"/>
  <c r="F337" i="21" s="1"/>
  <c r="G337" i="21" s="1"/>
  <c r="L337" i="21" s="1"/>
  <c r="M336" i="21"/>
  <c r="D338" i="21" l="1"/>
  <c r="F338" i="21" s="1"/>
  <c r="G338" i="21" s="1"/>
  <c r="L338" i="21" s="1"/>
  <c r="M337" i="21"/>
  <c r="D339" i="21" l="1"/>
  <c r="F339" i="21" s="1"/>
  <c r="G339" i="21" s="1"/>
  <c r="L339" i="21" s="1"/>
  <c r="M338" i="21"/>
  <c r="D340" i="21" l="1"/>
  <c r="F340" i="21" s="1"/>
  <c r="G340" i="21" s="1"/>
  <c r="L340" i="21" s="1"/>
  <c r="M339" i="21"/>
  <c r="D341" i="21" l="1"/>
  <c r="F341" i="21" s="1"/>
  <c r="G341" i="21" s="1"/>
  <c r="L341" i="21" s="1"/>
  <c r="M340" i="21"/>
  <c r="D342" i="21" l="1"/>
  <c r="F342" i="21" s="1"/>
  <c r="G342" i="21" s="1"/>
  <c r="L342" i="21" s="1"/>
  <c r="M341" i="21"/>
  <c r="D343" i="21" l="1"/>
  <c r="F343" i="21" s="1"/>
  <c r="G343" i="21" s="1"/>
  <c r="L343" i="21" s="1"/>
  <c r="M342" i="21"/>
  <c r="D344" i="21" l="1"/>
  <c r="F344" i="21" s="1"/>
  <c r="G344" i="21" s="1"/>
  <c r="L344" i="21" s="1"/>
  <c r="M343" i="21"/>
  <c r="D345" i="21" l="1"/>
  <c r="F345" i="21" s="1"/>
  <c r="G345" i="21" s="1"/>
  <c r="L345" i="21" s="1"/>
  <c r="M344" i="21"/>
  <c r="D346" i="21" l="1"/>
  <c r="F346" i="21" s="1"/>
  <c r="G346" i="21" s="1"/>
  <c r="L346" i="21" s="1"/>
  <c r="M345" i="21"/>
  <c r="D347" i="21" l="1"/>
  <c r="F347" i="21" s="1"/>
  <c r="G347" i="21" s="1"/>
  <c r="L347" i="21" s="1"/>
  <c r="M346" i="21"/>
  <c r="D348" i="21" l="1"/>
  <c r="F348" i="21" s="1"/>
  <c r="G348" i="21" s="1"/>
  <c r="L348" i="21" s="1"/>
  <c r="M347" i="21"/>
  <c r="D349" i="21" l="1"/>
  <c r="F349" i="21" s="1"/>
  <c r="G349" i="21" s="1"/>
  <c r="L349" i="21" s="1"/>
  <c r="M348" i="21"/>
  <c r="D350" i="21" l="1"/>
  <c r="F350" i="21" s="1"/>
  <c r="G350" i="21" s="1"/>
  <c r="L350" i="21" s="1"/>
  <c r="M349" i="21"/>
  <c r="D351" i="21" l="1"/>
  <c r="F351" i="21" s="1"/>
  <c r="G351" i="21" s="1"/>
  <c r="M350" i="21"/>
  <c r="M351" i="21" l="1"/>
  <c r="L351" i="21"/>
  <c r="D352" i="21"/>
  <c r="F352" i="21" s="1"/>
  <c r="G352" i="21"/>
  <c r="M352" i="21" l="1"/>
  <c r="L352" i="21"/>
  <c r="D353" i="21"/>
  <c r="F353" i="21" s="1"/>
  <c r="G353" i="21"/>
  <c r="M353" i="21" l="1"/>
  <c r="L353" i="21"/>
  <c r="D354" i="21"/>
  <c r="F354" i="21" s="1"/>
  <c r="G354" i="21"/>
  <c r="M354" i="21" l="1"/>
  <c r="L354" i="21"/>
  <c r="D355" i="21"/>
  <c r="F355" i="21" s="1"/>
  <c r="G355" i="21"/>
  <c r="M355" i="21" l="1"/>
  <c r="L355" i="21"/>
  <c r="D356" i="21"/>
  <c r="F356" i="21" s="1"/>
  <c r="G356" i="21"/>
  <c r="M356" i="21" l="1"/>
  <c r="L356" i="21"/>
  <c r="D357" i="21"/>
  <c r="F357" i="21" s="1"/>
  <c r="G357" i="21"/>
  <c r="M357" i="21" l="1"/>
  <c r="L357" i="21"/>
  <c r="D358" i="21"/>
  <c r="F358" i="21" s="1"/>
  <c r="G358" i="21"/>
  <c r="M358" i="21" l="1"/>
  <c r="L358" i="21"/>
  <c r="D359" i="21"/>
  <c r="F359" i="21" s="1"/>
  <c r="G359" i="21"/>
  <c r="M359" i="21" l="1"/>
  <c r="L359" i="21"/>
  <c r="D360" i="21"/>
  <c r="F360" i="21" s="1"/>
  <c r="G360" i="21"/>
  <c r="M360" i="21" l="1"/>
  <c r="L360" i="21"/>
  <c r="D361" i="21"/>
  <c r="F361" i="21" s="1"/>
  <c r="G361" i="21"/>
  <c r="M361" i="21" l="1"/>
  <c r="L361" i="21"/>
  <c r="G362" i="21"/>
  <c r="D362" i="21"/>
  <c r="F362" i="21" s="1"/>
  <c r="M362" i="21" l="1"/>
  <c r="L362" i="21"/>
  <c r="G363" i="21"/>
  <c r="L363" i="21" s="1"/>
  <c r="D363" i="21"/>
  <c r="F363" i="21" s="1"/>
  <c r="G364" i="21" l="1"/>
  <c r="G365" i="21" s="1"/>
  <c r="G366" i="21" s="1"/>
  <c r="G367" i="21" s="1"/>
  <c r="M363" i="21"/>
  <c r="V57" i="21"/>
  <c r="J9" i="27"/>
  <c r="J11" i="27" l="1"/>
  <c r="J10" i="27"/>
  <c r="J12" i="27" l="1"/>
  <c r="J13" i="27" l="1"/>
  <c r="J14" i="27" l="1"/>
  <c r="J15" i="27" l="1"/>
  <c r="J16" i="27" l="1"/>
  <c r="J17" i="27" l="1"/>
  <c r="J18" i="27" l="1"/>
  <c r="J19" i="27" l="1"/>
  <c r="J20" i="27" l="1"/>
  <c r="J21" i="27" l="1"/>
  <c r="J22" i="27" l="1"/>
  <c r="J23" i="27" l="1"/>
  <c r="J24" i="27" l="1"/>
  <c r="J25" i="27" l="1"/>
  <c r="J26" i="27" l="1"/>
  <c r="J27" i="27" l="1"/>
  <c r="J28" i="27" l="1"/>
  <c r="J29" i="27" l="1"/>
  <c r="J30" i="2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Oskari Moisio</author>
    <author>Oskari</author>
  </authors>
  <commentList>
    <comment ref="E7" authorId="0" shapeId="0" xr:uid="{00000000-0006-0000-0000-000001000000}">
      <text>
        <r>
          <rPr>
            <sz val="9"/>
            <color indexed="81"/>
            <rFont val="Tahoma"/>
            <family val="2"/>
          </rPr>
          <t xml:space="preserve">Asunnon vuokratuotto sijoitetulle pääomalle (=koko hankintahinnalle). Laskuri ottaa huomioon remonttivarat, varainsiirtoveron ja lainan järjestelykulut.
</t>
        </r>
      </text>
    </comment>
    <comment ref="B8" authorId="0" shapeId="0" xr:uid="{00000000-0006-0000-0000-000002000000}">
      <text>
        <r>
          <rPr>
            <sz val="9"/>
            <color rgb="FF000000"/>
            <rFont val="Tahoma"/>
            <family val="2"/>
          </rPr>
          <t xml:space="preserve">Varainsiirtovero 2%. Kenttä laskee varainsiirtoveron automaattisesti.
</t>
        </r>
      </text>
    </comment>
    <comment ref="E8" authorId="0" shapeId="0" xr:uid="{00000000-0006-0000-0000-000003000000}">
      <text>
        <r>
          <rPr>
            <sz val="9"/>
            <color indexed="81"/>
            <rFont val="Tahoma"/>
            <family val="2"/>
          </rPr>
          <t>Asunnon vuokratuotto euroina koko vuodelta. Laskuri ottaa huomioon hoitovastikkeen ja lainan korot. Tämä ei ota huomioon rahoitusvastiketta, Pääset näkemään tarkemman tuoton edistyneellä laskurilla.</t>
        </r>
      </text>
    </comment>
    <comment ref="E9" authorId="0" shapeId="0" xr:uid="{00000000-0006-0000-0000-000004000000}">
      <text>
        <r>
          <rPr>
            <sz val="9"/>
            <color indexed="81"/>
            <rFont val="Tahoma"/>
            <family val="2"/>
          </rPr>
          <t>Tämä kertoo kuinka paljon asuntoon sijoitettu oma pääoma tuottaa alussa. Luku vastaa vain alkutilannetta, sillä lainan lyhentyessä oman pääoman tuotto tippuu.</t>
        </r>
      </text>
    </comment>
    <comment ref="B10" authorId="0" shapeId="0" xr:uid="{00000000-0006-0000-0000-000005000000}">
      <text>
        <r>
          <rPr>
            <sz val="9"/>
            <color indexed="81"/>
            <rFont val="Tahoma"/>
            <family val="2"/>
          </rPr>
          <t xml:space="preserve">Laita tähän asunnon hoitovastike. Älä lisää hoitovastikkeeseen vesimaksuja tai muita käyttökuluja, jotka vuokralainen maksaa.
</t>
        </r>
      </text>
    </comment>
    <comment ref="B12" authorId="0" shapeId="0" xr:uid="{00000000-0006-0000-0000-000006000000}">
      <text>
        <r>
          <rPr>
            <sz val="9"/>
            <color indexed="81"/>
            <rFont val="Tahoma"/>
            <family val="2"/>
          </rPr>
          <t>Asuntoon kohdistuvan yhtiölainan kokonaismäärä</t>
        </r>
      </text>
    </comment>
    <comment ref="B13" authorId="0" shapeId="0" xr:uid="{00000000-0006-0000-0000-000007000000}">
      <text>
        <r>
          <rPr>
            <sz val="9"/>
            <color indexed="81"/>
            <rFont val="Tahoma"/>
            <family val="2"/>
          </rPr>
          <t xml:space="preserve">Laita tähän kuukausittain maksettavan rahoitusvastikkeen määrä.
</t>
        </r>
      </text>
    </comment>
    <comment ref="E13" authorId="0" shapeId="0" xr:uid="{00000000-0006-0000-0000-000008000000}">
      <text>
        <r>
          <rPr>
            <sz val="9"/>
            <color rgb="FF000000"/>
            <rFont val="Tahoma"/>
            <family val="2"/>
          </rPr>
          <t>Vuokra - vastike</t>
        </r>
      </text>
    </comment>
    <comment ref="B14" authorId="0" shapeId="0" xr:uid="{00000000-0006-0000-0000-000009000000}">
      <text>
        <r>
          <rPr>
            <sz val="9"/>
            <color indexed="81"/>
            <rFont val="Tahoma"/>
            <family val="2"/>
          </rPr>
          <t xml:space="preserve">Valitse valikosta, onko yhtiölaina tuloutettu vai rahastoitu taloyhtiön tuloslaskelmassa. Lisätietoa Käyttöohjeet-sivulla.
</t>
        </r>
      </text>
    </comment>
    <comment ref="E14" authorId="1" shapeId="0" xr:uid="{00000000-0006-0000-0000-00000A000000}">
      <text>
        <r>
          <rPr>
            <sz val="9"/>
            <color indexed="81"/>
            <rFont val="Tahoma"/>
            <family val="2"/>
          </rPr>
          <t>Lainan koron osuus + lyhennyksen suuruus</t>
        </r>
      </text>
    </comment>
    <comment ref="B16" authorId="0" shapeId="0" xr:uid="{00000000-0006-0000-0000-00000B000000}">
      <text>
        <r>
          <rPr>
            <sz val="9"/>
            <color indexed="81"/>
            <rFont val="Tahoma"/>
            <family val="2"/>
          </rPr>
          <t xml:space="preserve">Voit laittaa tähän taloyhtiön tulevien vuosien remonttivaran. Tämä vaikuttaa vuokratuottoon. Lisätietoa Käyttöohjeet-sivulla.
</t>
        </r>
      </text>
    </comment>
    <comment ref="B17" authorId="0" shapeId="0" xr:uid="{00000000-0006-0000-0000-00000C000000}">
      <text>
        <r>
          <rPr>
            <sz val="9"/>
            <color indexed="81"/>
            <rFont val="Tahoma"/>
            <family val="2"/>
          </rPr>
          <t xml:space="preserve">Voit laittaa tähän pintaremonttivaran, jos asuntoon tarvitsee tehdä remonttia seuraavien vuosien aikana. Tämä lasketaan mukaan asunnon ostohintaan, ja se vaikuttaa kassavirtaan ja vuokratuottoon.
</t>
        </r>
      </text>
    </comment>
    <comment ref="B19" authorId="0" shapeId="0" xr:uid="{00000000-0006-0000-0000-00000D000000}">
      <text>
        <r>
          <rPr>
            <sz val="9"/>
            <color indexed="81"/>
            <rFont val="Tahoma"/>
            <family val="2"/>
          </rPr>
          <t xml:space="preserve">Merkkaa tähän kauppaan käytettävän käteisen rahan määrä. Tämän perusteella lasketaan tarvittavan pankkilainan määrä.
</t>
        </r>
      </text>
    </comment>
    <comment ref="B20" authorId="0" shapeId="0" xr:uid="{00000000-0006-0000-0000-00000E000000}">
      <text>
        <r>
          <rPr>
            <sz val="9"/>
            <color indexed="81"/>
            <rFont val="Tahoma"/>
            <family val="2"/>
          </rPr>
          <t xml:space="preserve">Pankkilainan kokonaiskorko (viitekorko+marginaali)
</t>
        </r>
      </text>
    </comment>
    <comment ref="E20" authorId="1" shapeId="0" xr:uid="{00000000-0006-0000-0000-00000F000000}">
      <text>
        <r>
          <rPr>
            <sz val="9"/>
            <color indexed="81"/>
            <rFont val="Tahoma"/>
            <family val="2"/>
          </rPr>
          <t>Kassavirta kuukaudessa, josta on vähennetty veron osuus. Tämän verran jää konkreettisesti rahaa tilillesi menojen jälkeen, jota voi käyttää esimerkiksi seuraavien asuntojen käsirahaksi.</t>
        </r>
      </text>
    </comment>
    <comment ref="B22" authorId="0" shapeId="0" xr:uid="{00000000-0006-0000-0000-000010000000}">
      <text>
        <r>
          <rPr>
            <sz val="9"/>
            <color rgb="FF000000"/>
            <rFont val="Tahoma"/>
            <family val="2"/>
          </rPr>
          <t>Tähän voit lisätä pankkilainaan kohdistuvia kuluja, kuten järjestelypalkkiot. Laskuri laskee nämä kulut mukaan vain, jos pankkilainaa käytetään.</t>
        </r>
      </text>
    </comment>
    <comment ref="B23" authorId="0" shapeId="0" xr:uid="{00000000-0006-0000-0000-000011000000}">
      <text>
        <r>
          <rPr>
            <sz val="9"/>
            <color indexed="81"/>
            <rFont val="Tahoma"/>
            <family val="2"/>
          </rPr>
          <t xml:space="preserve">Valitse lainan lyhennystapa.
</t>
        </r>
      </text>
    </comment>
    <comment ref="B25" authorId="0" shapeId="0" xr:uid="{00000000-0006-0000-0000-000012000000}">
      <text>
        <r>
          <rPr>
            <sz val="9"/>
            <color indexed="81"/>
            <rFont val="Tahoma"/>
            <family val="2"/>
          </rPr>
          <t xml:space="preserve">Vuokratulojen verotusaste. Yksityishenkilöillä 30/34%, osakeyhtiöillä 20%. Lisätietoa Käyttöohjeet-sivulla.
</t>
        </r>
      </text>
    </comment>
    <comment ref="B27" authorId="0" shapeId="0" xr:uid="{00000000-0006-0000-0000-000013000000}">
      <text>
        <r>
          <rPr>
            <sz val="9"/>
            <color indexed="81"/>
            <rFont val="Tahoma"/>
            <family val="2"/>
          </rPr>
          <t xml:space="preserve">Laskuri laskee pankkilainan tiedot automaattisesti.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Oskari</author>
  </authors>
  <commentList>
    <comment ref="B6" authorId="0" shapeId="0" xr:uid="{00000000-0006-0000-0100-000001000000}">
      <text>
        <r>
          <rPr>
            <sz val="9"/>
            <color indexed="81"/>
            <rFont val="Tahoma"/>
            <family val="2"/>
          </rPr>
          <t>Asunnon velaton kauppahinta (sis. Mahdolliset yhtiölainaosuudet). Älä lisää varainsiirtoveroa, kaava laskee sen automaattisesti.</t>
        </r>
      </text>
    </comment>
    <comment ref="H6" authorId="0" shapeId="0" xr:uid="{00000000-0006-0000-0100-000002000000}">
      <text>
        <r>
          <rPr>
            <sz val="9"/>
            <color indexed="81"/>
            <rFont val="Tahoma"/>
            <family val="2"/>
          </rPr>
          <t>Kassavirta kuukaudessa. Laskelma ei ota huomioon tyhjiä kuukausia tai vuokrankorotuksia.</t>
        </r>
      </text>
    </comment>
    <comment ref="E7" authorId="0" shapeId="0" xr:uid="{00000000-0006-0000-0100-000003000000}">
      <text>
        <r>
          <rPr>
            <sz val="9"/>
            <color indexed="81"/>
            <rFont val="Tahoma"/>
            <family val="2"/>
          </rPr>
          <t>Asunnon vuokratuotto sijoitetulle pääomalle (=koko hankintahinnalle). Laskuri ottaa huomioon remonttivarat, varainsiirtoveron, tyhjät kuukaudet ja lainan järjestelykulut.</t>
        </r>
      </text>
    </comment>
    <comment ref="K7" authorId="0" shapeId="0" xr:uid="{00000000-0006-0000-0100-000004000000}">
      <text>
        <r>
          <rPr>
            <sz val="9"/>
            <color indexed="81"/>
            <rFont val="Tahoma"/>
            <family val="2"/>
          </rPr>
          <t>Jos lainan korko (viitekorko + marginaali) nousee näin korkeaksi, ei vuokratuotto enää riitä kattamaan korkokuluja ja asunnon tuotto kääntyy negatiiviseksi.</t>
        </r>
        <r>
          <rPr>
            <b/>
            <sz val="9"/>
            <color indexed="81"/>
            <rFont val="Tahoma"/>
            <family val="2"/>
          </rPr>
          <t xml:space="preserve"> </t>
        </r>
      </text>
    </comment>
    <comment ref="B8" authorId="0" shapeId="0" xr:uid="{00000000-0006-0000-0100-000005000000}">
      <text>
        <r>
          <rPr>
            <sz val="9"/>
            <color rgb="FF000000"/>
            <rFont val="Tahoma"/>
            <family val="2"/>
          </rPr>
          <t>Laita tähän asunnon vuokra. Älä lisää vuokraan vesimaksuja tai muita käyttökuluja, jotka menevät lopulta taloyhtiölle.</t>
        </r>
      </text>
    </comment>
    <comment ref="E8" authorId="0" shapeId="0" xr:uid="{00000000-0006-0000-0100-000006000000}">
      <text>
        <r>
          <rPr>
            <sz val="9"/>
            <color indexed="81"/>
            <rFont val="Tahoma"/>
            <family val="2"/>
          </rPr>
          <t>Asunnon vuokratuotto euroina koko vuodelta. Laskuri ottaa huomioon hoitovastikkeen, tyhjien kuukausien varan sekä yhtiölainan ja pankkilainan korot.</t>
        </r>
      </text>
    </comment>
    <comment ref="B9" authorId="0" shapeId="0" xr:uid="{00000000-0006-0000-0100-000007000000}">
      <text>
        <r>
          <rPr>
            <sz val="9"/>
            <color rgb="FF000000"/>
            <rFont val="Tahoma"/>
            <family val="2"/>
          </rPr>
          <t xml:space="preserve">Voit laittaa arvioidun vuokrankorotusprosentin per vuosi, jos arvioit että vuokraa on mahdollista korottaa tasaisesti vuosittain.
</t>
        </r>
      </text>
    </comment>
    <comment ref="E9" authorId="0" shapeId="0" xr:uid="{00000000-0006-0000-0100-000008000000}">
      <text>
        <r>
          <rPr>
            <sz val="9"/>
            <color indexed="81"/>
            <rFont val="Tahoma"/>
            <family val="2"/>
          </rPr>
          <t>Tämä kertoo kuinka paljon asuntoon sijoitettu oma pääoma tuottaa alussa. Luku vastaa vain alkutilannetta, sillä lainan lyhentyessä oman pääoman tuotto tippuu. Laskuri ottaa huomioon hoitovastikkeet, yhtiölainan korot, pankkilainan korot sekä tyhjien kuukausien varan.</t>
        </r>
      </text>
    </comment>
    <comment ref="K9" authorId="0" shapeId="0" xr:uid="{00000000-0006-0000-0100-000009000000}">
      <text>
        <r>
          <rPr>
            <sz val="9"/>
            <color indexed="81"/>
            <rFont val="Tahoma"/>
            <family val="2"/>
          </rPr>
          <t>Bruttokassavirta, kun hoitovastikkeet, rahoitusvastikkeet ja lainan korko on vähennetty vuokratulosta. Jos laina on lyhennysvapaalla, tämän verran kassavirtaa jää käteen kuukaudessa ennen veroja.</t>
        </r>
      </text>
    </comment>
    <comment ref="B10" authorId="0" shapeId="0" xr:uid="{00000000-0006-0000-0100-00000A000000}">
      <text>
        <r>
          <rPr>
            <sz val="9"/>
            <color indexed="81"/>
            <rFont val="Tahoma"/>
            <family val="2"/>
          </rPr>
          <t>Laita tähän arvio, kuinka monta tyhjää kuukautta arvioit keskimäärin tulevan vuodessa.</t>
        </r>
      </text>
    </comment>
    <comment ref="K10" authorId="0" shapeId="0" xr:uid="{00000000-0006-0000-0100-00000B000000}">
      <text>
        <r>
          <rPr>
            <sz val="9"/>
            <color indexed="81"/>
            <rFont val="Tahoma"/>
            <family val="2"/>
          </rPr>
          <t xml:space="preserve">Bruttokassavirta, kun hoito- ja rahoitusvastikkeet sekä lainan korko ja lyhennys on vähennetty vuokratulosta ennen veroja. </t>
        </r>
      </text>
    </comment>
    <comment ref="K11" authorId="0" shapeId="0" xr:uid="{00000000-0006-0000-0100-00000C000000}">
      <text>
        <r>
          <rPr>
            <sz val="9"/>
            <color indexed="81"/>
            <rFont val="Tahoma"/>
            <family val="2"/>
          </rPr>
          <t>Kuukauden vuokratuoton veron määrä laskettuna kohteen perustiedoissa annetulla veroprosentilla. Jos asuntoon kohdistuu yhtiölainaa, laskelma ottaa huomioon rahastoidun/tuloutetun yhtiölainan.</t>
        </r>
      </text>
    </comment>
    <comment ref="B12" authorId="0" shapeId="0" xr:uid="{00000000-0006-0000-0100-00000D000000}">
      <text>
        <r>
          <rPr>
            <sz val="9"/>
            <color indexed="81"/>
            <rFont val="Tahoma"/>
            <family val="2"/>
          </rPr>
          <t>Asunnon pinta-alan mukaan lasketaan neliöhinta, neliövuokra ja neliövastike.</t>
        </r>
      </text>
    </comment>
    <comment ref="H12" authorId="0" shapeId="0" xr:uid="{00000000-0006-0000-0100-00000E000000}">
      <text>
        <r>
          <rPr>
            <sz val="9"/>
            <color indexed="81"/>
            <rFont val="Tahoma"/>
            <family val="2"/>
          </rPr>
          <t xml:space="preserve">Bruttokassavirta, kun hoitovastikkeet, rahoitusvastikkeet ja lainan korko on vähennetty vuokratulosta. Jos laina on lyhennysvapaalla, tämän verran kassavirtaa jää käteen kuukaudessa ennen veroja.
</t>
        </r>
      </text>
    </comment>
    <comment ref="K12" authorId="0" shapeId="0" xr:uid="{00000000-0006-0000-0100-00000F000000}">
      <text>
        <r>
          <rPr>
            <sz val="9"/>
            <color indexed="81"/>
            <rFont val="Tahoma"/>
            <family val="2"/>
          </rPr>
          <t xml:space="preserve">Kassavirta kuukaudessa, josta on vähennetty veron osuus. </t>
        </r>
      </text>
    </comment>
    <comment ref="B13" authorId="0" shapeId="0" xr:uid="{00000000-0006-0000-0100-000010000000}">
      <text>
        <r>
          <rPr>
            <sz val="9"/>
            <color indexed="81"/>
            <rFont val="Tahoma"/>
            <family val="2"/>
          </rPr>
          <t>Laita tähän asunnon hoitovastike. Älä lisää hoitovastikkeeseen vesimaksuja tai muita käyttökuluja, jotka vuokralainen maksaa.</t>
        </r>
      </text>
    </comment>
    <comment ref="H13" authorId="0" shapeId="0" xr:uid="{00000000-0006-0000-0100-000011000000}">
      <text>
        <r>
          <rPr>
            <sz val="9"/>
            <color indexed="81"/>
            <rFont val="Tahoma"/>
            <family val="2"/>
          </rPr>
          <t xml:space="preserve">Pankkilainan lyhennyksen osuus. Tämä osuus vaikuttaa kassavirtaan, mutta lyhentää samalla asuntoon kohdistuvaa lainaa.
</t>
        </r>
      </text>
    </comment>
    <comment ref="H15" authorId="0" shapeId="0" xr:uid="{00000000-0006-0000-0100-000012000000}">
      <text>
        <r>
          <rPr>
            <sz val="9"/>
            <color indexed="81"/>
            <rFont val="Tahoma"/>
            <family val="2"/>
          </rPr>
          <t xml:space="preserve">Bruttokassavirta, kun hoito- ja rahoitusvastikkeet sekä lainan korko ja lyhennys on vähennetty vuokratulosta ennen veroja. </t>
        </r>
      </text>
    </comment>
    <comment ref="K15" authorId="0" shapeId="0" xr:uid="{00000000-0006-0000-0100-000013000000}">
      <text>
        <r>
          <rPr>
            <sz val="9"/>
            <color indexed="81"/>
            <rFont val="Tahoma"/>
            <family val="2"/>
          </rPr>
          <t>Bruttokassavirta, kun hoitovastikkeet, rahoitusvastikkeet ja lainan korko on vähennetty vuokratulosta. Jos laina on lyhennysvapaalla, tämän verran kassavirtaa jää käteen kuukaudessa ennen veroja.</t>
        </r>
      </text>
    </comment>
    <comment ref="H16" authorId="0" shapeId="0" xr:uid="{00000000-0006-0000-0100-000014000000}">
      <text>
        <r>
          <rPr>
            <sz val="9"/>
            <color indexed="81"/>
            <rFont val="Tahoma"/>
            <family val="2"/>
          </rPr>
          <t xml:space="preserve">Sama kuin edellinen kohta, mutta koko vuodelle. Huom. Laskelma ei ota huomioon mahdollisia tyhjiä kuukausia tai vuokrankorotuksia.
</t>
        </r>
      </text>
    </comment>
    <comment ref="K16" authorId="0" shapeId="0" xr:uid="{00000000-0006-0000-0100-000015000000}">
      <text>
        <r>
          <rPr>
            <sz val="9"/>
            <color indexed="81"/>
            <rFont val="Tahoma"/>
            <family val="2"/>
          </rPr>
          <t xml:space="preserve">Bruttokassavirta, kun hoito- ja rahoitusvastikkeet sekä lainan korko ja lyhennys on vähennetty vuokratulosta ennen veroja. </t>
        </r>
      </text>
    </comment>
    <comment ref="B17" authorId="0" shapeId="0" xr:uid="{00000000-0006-0000-0100-000016000000}">
      <text>
        <r>
          <rPr>
            <sz val="9"/>
            <color rgb="FF000000"/>
            <rFont val="Tahoma"/>
            <family val="2"/>
          </rPr>
          <t>Jos asunnossa on yhtiölainaa, laita sen määrä tähän.</t>
        </r>
      </text>
    </comment>
    <comment ref="E17" authorId="0" shapeId="0" xr:uid="{00000000-0006-0000-0100-000017000000}">
      <text>
        <r>
          <rPr>
            <sz val="9"/>
            <color indexed="81"/>
            <rFont val="Tahoma"/>
            <family val="2"/>
          </rPr>
          <t xml:space="preserve">Jos olet määritellyt vuosittaisen arvonnousuprosentin asunnolle, tässä näet paljonko spekuloitu arvonnousu on kuukaudessa.
</t>
        </r>
      </text>
    </comment>
    <comment ref="H17" authorId="0" shapeId="0" xr:uid="{00000000-0006-0000-0100-000018000000}">
      <text>
        <r>
          <rPr>
            <sz val="9"/>
            <color indexed="81"/>
            <rFont val="Tahoma"/>
            <family val="2"/>
          </rPr>
          <t>Kuukauden vuokratuoton veron määrä laskettuna kohteen perustiedoissa annetulla veroprosentilla. Jos asuntoon kohdistuu yhtiölainaa, laskelma ottaa huomioon rahastoidun/tuloutetun yhtiölainan.</t>
        </r>
      </text>
    </comment>
    <comment ref="K17" authorId="0" shapeId="0" xr:uid="{00000000-0006-0000-0100-000019000000}">
      <text>
        <r>
          <rPr>
            <sz val="9"/>
            <color indexed="81"/>
            <rFont val="Tahoma"/>
            <family val="2"/>
          </rPr>
          <t>Kuukauden vuokratuoton veron määrä laskettuna kohteen perustiedoissa annetulla veroprosentilla. Jos asuntoon kohdistuu yhtiölainaa, laskelma ottaa huomioon rahastoidun/tuloutetun yhtiölainan.</t>
        </r>
      </text>
    </comment>
    <comment ref="B18" authorId="0" shapeId="0" xr:uid="{00000000-0006-0000-0100-00001A000000}">
      <text>
        <r>
          <rPr>
            <sz val="9"/>
            <color rgb="FF000000"/>
            <rFont val="Tahoma"/>
            <family val="2"/>
          </rPr>
          <t>Yhtiölainan korko (sis. Marginaalin ja viitekoron) Löydät tiedot isännöitsijäntodistuksesta tai uudiskohteen myyntiesitteestä.  Huom! Jos lainoja on useita, katso lisätiedot Käyttöohjeet-sivulla.</t>
        </r>
      </text>
    </comment>
    <comment ref="E18" authorId="0" shapeId="0" xr:uid="{00000000-0006-0000-0100-00001B000000}">
      <text>
        <r>
          <rPr>
            <sz val="9"/>
            <color indexed="81"/>
            <rFont val="Tahoma"/>
            <family val="2"/>
          </rPr>
          <t xml:space="preserve">Jos olet määritellyt asunnolle arvonnousuprosentin, näin paljon euroina asuntosi arvo nousee vuodessa. </t>
        </r>
      </text>
    </comment>
    <comment ref="K18" authorId="0" shapeId="0" xr:uid="{00000000-0006-0000-0100-00001C000000}">
      <text>
        <r>
          <rPr>
            <sz val="9"/>
            <color indexed="81"/>
            <rFont val="Tahoma"/>
            <family val="2"/>
          </rPr>
          <t xml:space="preserve">Kassavirta kuukaudessa, josta on vähennetty veron osuus. </t>
        </r>
      </text>
    </comment>
    <comment ref="B19" authorId="0" shapeId="0" xr:uid="{00000000-0006-0000-0100-00001D000000}">
      <text>
        <r>
          <rPr>
            <sz val="9"/>
            <color rgb="FF000000"/>
            <rFont val="Tahoma"/>
            <family val="2"/>
          </rPr>
          <t>Yhtiölainan laina-aika. Löydät tiedot isännöitsijäntodistuksesta tai uudiskohteen myyntiesitteestä. Huom! Jos lainoja on useita, katso lisätiedot Käyttöohjeet-sivulla.</t>
        </r>
      </text>
    </comment>
    <comment ref="E19" authorId="0" shapeId="0" xr:uid="{00000000-0006-0000-0100-00001E000000}">
      <text>
        <r>
          <rPr>
            <sz val="9"/>
            <color indexed="81"/>
            <rFont val="Tahoma"/>
            <family val="2"/>
          </rPr>
          <t xml:space="preserve">Vuosittaisen arvonnousun tuotto omalle pääomalle. 
</t>
        </r>
      </text>
    </comment>
    <comment ref="H19" authorId="0" shapeId="0" xr:uid="{00000000-0006-0000-0100-00001F000000}">
      <text>
        <r>
          <rPr>
            <sz val="9"/>
            <color indexed="81"/>
            <rFont val="Tahoma"/>
            <family val="2"/>
          </rPr>
          <t xml:space="preserve">Kassavirta kuukaudessa, josta on vähennetty veron osuus. Tämän verran jää konkreettisesti rahaa tilillesi menojen jälkeen, jota voi käyttää esimerkiksi seuraavien asuntojen käsirahaksi.
</t>
        </r>
      </text>
    </comment>
    <comment ref="B20" authorId="0" shapeId="0" xr:uid="{00000000-0006-0000-0100-000020000000}">
      <text>
        <r>
          <rPr>
            <sz val="9"/>
            <color indexed="81"/>
            <rFont val="Tahoma"/>
            <family val="2"/>
          </rPr>
          <t>Yhtiölainan lyhennystapa. Löydät tiedon isännöitsijäntodistuksesta tai uudiskohteen myyntiesitteestä. Huom! Tämä kohta ei ole kriittisen tärkeä, joten jos et tiedä kumpi valita, valitse annuiteetti.</t>
        </r>
      </text>
    </comment>
    <comment ref="H20" authorId="0" shapeId="0" xr:uid="{00000000-0006-0000-0100-000021000000}">
      <text>
        <r>
          <rPr>
            <sz val="9"/>
            <color indexed="81"/>
            <rFont val="Tahoma"/>
            <family val="2"/>
          </rPr>
          <t xml:space="preserve">Sama kuin edellinen kohta, mutta koko vuoden kassavirta.
</t>
        </r>
      </text>
    </comment>
    <comment ref="B21" authorId="0" shapeId="0" xr:uid="{00000000-0006-0000-0100-000022000000}">
      <text>
        <r>
          <rPr>
            <sz val="9"/>
            <color indexed="81"/>
            <rFont val="Tahoma"/>
            <family val="2"/>
          </rPr>
          <t>Ns. Tuloutetut yhtiölainat ovat kokonaan vähennyskelpoisia verotuksessa, joka vaikuttaa kassavirtaan. Merkitse rahoitusvastikkeiden kirjanpitokäsittelytapa tähän. Lisätiedot Käyttöohjeet-sivulla.</t>
        </r>
      </text>
    </comment>
    <comment ref="K21" authorId="0" shapeId="0" xr:uid="{00000000-0006-0000-0100-000023000000}">
      <text>
        <r>
          <rPr>
            <sz val="9"/>
            <color indexed="81"/>
            <rFont val="Tahoma"/>
            <family val="2"/>
          </rPr>
          <t>Bruttokassavirta, kun hoitovastikkeet, rahoitusvastikkeet ja lainan korko on vähennetty vuokratulosta. Jos laina on lyhennysvapaalla, tämän verran kassavirtaa jää käteen kuukaudessa ennen veroja.</t>
        </r>
      </text>
    </comment>
    <comment ref="K22" authorId="0" shapeId="0" xr:uid="{00000000-0006-0000-0100-000024000000}">
      <text>
        <r>
          <rPr>
            <sz val="9"/>
            <color indexed="81"/>
            <rFont val="Tahoma"/>
            <family val="2"/>
          </rPr>
          <t xml:space="preserve">Bruttokassavirta, kun hoito- ja rahoitusvastikkeet sekä lainan korko ja lyhennys on vähennetty vuokratulosta ennen veroja. </t>
        </r>
      </text>
    </comment>
    <comment ref="K23" authorId="0" shapeId="0" xr:uid="{00000000-0006-0000-0100-000025000000}">
      <text>
        <r>
          <rPr>
            <sz val="9"/>
            <color indexed="81"/>
            <rFont val="Tahoma"/>
            <family val="2"/>
          </rPr>
          <t>Kuukauden vuokratuoton veron määrä laskettuna kohteen perustiedoissa annetulla veroprosentilla. Jos asuntoon kohdistuu yhtiölainaa, laskelma ottaa huomioon rahastoidun/tuloutetun yhtiölainan.</t>
        </r>
      </text>
    </comment>
    <comment ref="K24" authorId="0" shapeId="0" xr:uid="{00000000-0006-0000-0100-000026000000}">
      <text>
        <r>
          <rPr>
            <sz val="9"/>
            <color indexed="81"/>
            <rFont val="Tahoma"/>
            <family val="2"/>
          </rPr>
          <t xml:space="preserve">Kassavirta kuukaudessa, josta on vähennetty veron osuus. </t>
        </r>
      </text>
    </comment>
    <comment ref="B28" authorId="0" shapeId="0" xr:uid="{00000000-0006-0000-0100-000027000000}">
      <text>
        <r>
          <rPr>
            <sz val="9"/>
            <color indexed="81"/>
            <rFont val="Tahoma"/>
            <family val="2"/>
          </rPr>
          <t xml:space="preserve">Merkkaa tähän kauppaan käytetyn käteisrahan osuus. Merkkaa vain käteisen osuus, vaikka käyttäisit vapaata vakuutta jostain muusta asunnosta / omaisuudesta, jotta laskuri laskee lainarahalle koron ja lyhennyksen oikein.
</t>
        </r>
      </text>
    </comment>
    <comment ref="B32" authorId="0" shapeId="0" xr:uid="{00000000-0006-0000-0100-000028000000}">
      <text>
        <r>
          <rPr>
            <sz val="9"/>
            <color indexed="81"/>
            <rFont val="Tahoma"/>
            <family val="2"/>
          </rPr>
          <t xml:space="preserve">Valitse lainan lyhennystapa
</t>
        </r>
      </text>
    </comment>
    <comment ref="B33" authorId="0" shapeId="0" xr:uid="{00000000-0006-0000-0100-000029000000}">
      <text>
        <r>
          <rPr>
            <sz val="9"/>
            <color indexed="81"/>
            <rFont val="Tahoma"/>
            <family val="2"/>
          </rPr>
          <t>Pankkilainan kokonaiskorko (viitekorko + marginaali)</t>
        </r>
      </text>
    </comment>
    <comment ref="B35" authorId="0" shapeId="0" xr:uid="{00000000-0006-0000-0100-00002A000000}">
      <text>
        <r>
          <rPr>
            <sz val="9"/>
            <color indexed="81"/>
            <rFont val="Tahoma"/>
            <family val="2"/>
          </rPr>
          <t>Tähän voit lisätä pankkilainaan kohdistuvia kertaluonteisia kuluja, kuten järjestelypalkkiot. Laskuri laskee nämä kulut mukaan vain, jos pankkilainaa käytetään.</t>
        </r>
      </text>
    </comment>
    <comment ref="B41" authorId="0" shapeId="0" xr:uid="{00000000-0006-0000-0100-00002B000000}">
      <text>
        <r>
          <rPr>
            <sz val="9"/>
            <color indexed="81"/>
            <rFont val="Tahoma"/>
            <family val="2"/>
          </rPr>
          <t>Vuokratulojen verotusaste. Yksityishenkilöillä 30/34%, osakeyhtiöillä 20%. Lisätietoa Käyttöohjeet-sivulla.</t>
        </r>
      </text>
    </comment>
    <comment ref="B42" authorId="0" shapeId="0" xr:uid="{00000000-0006-0000-0100-00002C000000}">
      <text>
        <r>
          <rPr>
            <sz val="9"/>
            <color indexed="81"/>
            <rFont val="Tahoma"/>
            <family val="2"/>
          </rPr>
          <t>Merkitse tähän oman pankkisi antama vakuusarvo sijoitusasunnoille (yleensä 60-80%). Tätä tietoa tarvitaan graafin korkoa korolle-kuvaajassa. Jos et tiedä tarkasti, voit käyttää 70 prosenttia, joka on yleisesti saatavissa useista pankeista.</t>
        </r>
      </text>
    </comment>
    <comment ref="B46" authorId="0" shapeId="0" xr:uid="{00000000-0006-0000-0100-00002D000000}">
      <text>
        <r>
          <rPr>
            <sz val="9"/>
            <color indexed="81"/>
            <rFont val="Tahoma"/>
            <family val="2"/>
          </rPr>
          <t xml:space="preserve">Voit laittaa tähän pintaremonttivaran, jos asuntoon tarvitsee tehdä remonttia seuraavien vuosien aikana. Tämä lasketaan mukaan asunnon ostohintaan, ja se vaikuttaa kassavirtaan ja vuokratuottoon.
</t>
        </r>
      </text>
    </comment>
    <comment ref="B47" authorId="0" shapeId="0" xr:uid="{00000000-0006-0000-0100-00002E000000}">
      <text>
        <r>
          <rPr>
            <sz val="9"/>
            <color indexed="81"/>
            <rFont val="Tahoma"/>
            <family val="2"/>
          </rPr>
          <t>Voit laittaa tähän taloyhtiön tulevien vuosien remonttivaran. Tämä vaikuttaa vuokratuottoon. Lisätietoa Käyttöohjeet-sivulla.</t>
        </r>
      </text>
    </comment>
    <comment ref="B52" authorId="0" shapeId="0" xr:uid="{00000000-0006-0000-0100-00002F000000}">
      <text>
        <r>
          <rPr>
            <sz val="9"/>
            <color indexed="81"/>
            <rFont val="Tahoma"/>
            <family val="2"/>
          </rPr>
          <t xml:space="preserve">Voit spekuloida tulevaisuuden arvonnousulla tai -laskulla. </t>
        </r>
      </text>
    </comment>
  </commentList>
</comments>
</file>

<file path=xl/sharedStrings.xml><?xml version="1.0" encoding="utf-8"?>
<sst xmlns="http://schemas.openxmlformats.org/spreadsheetml/2006/main" count="338" uniqueCount="250">
  <si>
    <t>Vuokratulot</t>
  </si>
  <si>
    <t>Vuokra</t>
  </si>
  <si>
    <t>Hoitovastike</t>
  </si>
  <si>
    <t>Rahoitusvastike</t>
  </si>
  <si>
    <t>Taloyhtiön remonttivara</t>
  </si>
  <si>
    <t>Pintaremonttivara</t>
  </si>
  <si>
    <t>Vuokratuotto</t>
  </si>
  <si>
    <t>Koron osuus</t>
  </si>
  <si>
    <t>Lainaa jäljellä</t>
  </si>
  <si>
    <t>1. KOHTEEN PERUSTIEDOT</t>
  </si>
  <si>
    <t>Velaton hinta</t>
  </si>
  <si>
    <t>Tyhjien kuukausien vara vuodessa</t>
  </si>
  <si>
    <t>Asunnon koko</t>
  </si>
  <si>
    <t>Omarahoitusosuus</t>
  </si>
  <si>
    <t>Pankkilainan osuus</t>
  </si>
  <si>
    <t>Pankkilainan korko</t>
  </si>
  <si>
    <t>Yhtiölainan osuus</t>
  </si>
  <si>
    <t>3. REMONTIT</t>
  </si>
  <si>
    <t>*</t>
  </si>
  <si>
    <t>4. ARVONNOUSU</t>
  </si>
  <si>
    <t>Arvioitu arvonnousu vuodessa</t>
  </si>
  <si>
    <t>TULOKSET</t>
  </si>
  <si>
    <t>Tuotto omalle pääomalle</t>
  </si>
  <si>
    <t>TUOTTO</t>
  </si>
  <si>
    <t>HINNAT</t>
  </si>
  <si>
    <t>Neliöhinta</t>
  </si>
  <si>
    <t>Neliövuokra</t>
  </si>
  <si>
    <t>Hoitovastike per neliö</t>
  </si>
  <si>
    <t>ARVONNOUSU</t>
  </si>
  <si>
    <t>Arvonnousu kuukaudessa</t>
  </si>
  <si>
    <t>Arvonnousu vuodessa</t>
  </si>
  <si>
    <t>Arvonnousu omalle pääomalle /vuosi</t>
  </si>
  <si>
    <t>Asunnon arvon muutos</t>
  </si>
  <si>
    <t>Lainan lyheneminen</t>
  </si>
  <si>
    <t>Laina-aika kuukausina:</t>
  </si>
  <si>
    <t>Kuukaudet</t>
  </si>
  <si>
    <t>1 vuosi</t>
  </si>
  <si>
    <t>2 vuosi</t>
  </si>
  <si>
    <t>3 vuosi</t>
  </si>
  <si>
    <t>4 vuosi</t>
  </si>
  <si>
    <t>5 vuosi</t>
  </si>
  <si>
    <t>6 vuosi</t>
  </si>
  <si>
    <t>7 vuosi</t>
  </si>
  <si>
    <t>8 vuosi</t>
  </si>
  <si>
    <t>9 vuosi</t>
  </si>
  <si>
    <t>10 vuosi</t>
  </si>
  <si>
    <t>11 vuosi</t>
  </si>
  <si>
    <t>12 vuosi</t>
  </si>
  <si>
    <t>13 vuosi</t>
  </si>
  <si>
    <t>14 vuosi</t>
  </si>
  <si>
    <t>15 vuosi</t>
  </si>
  <si>
    <t>16 vuosi</t>
  </si>
  <si>
    <t>17 vuosi</t>
  </si>
  <si>
    <t>18 vuosi</t>
  </si>
  <si>
    <t>19 vuosi</t>
  </si>
  <si>
    <t>20 vuosi</t>
  </si>
  <si>
    <t>21 vuosi</t>
  </si>
  <si>
    <t>22 vuosi</t>
  </si>
  <si>
    <t>23 vuosi</t>
  </si>
  <si>
    <t>24 vuosi</t>
  </si>
  <si>
    <t>25 vuosi</t>
  </si>
  <si>
    <t>26 vuosi</t>
  </si>
  <si>
    <t>27 vuosi</t>
  </si>
  <si>
    <t>28 vuosi</t>
  </si>
  <si>
    <t>29 vuosi</t>
  </si>
  <si>
    <t>30 vuosi</t>
  </si>
  <si>
    <t>31 vuosi</t>
  </si>
  <si>
    <t>32 vuosi</t>
  </si>
  <si>
    <t>33 vuosi</t>
  </si>
  <si>
    <t>34 vuosi</t>
  </si>
  <si>
    <t>35 vuosi</t>
  </si>
  <si>
    <t>Lainanhoitokulu kuukaudessa</t>
  </si>
  <si>
    <t>Oma pääoma</t>
  </si>
  <si>
    <t>DATA KUUKAUSINA</t>
  </si>
  <si>
    <t>DATA VUOSINA</t>
  </si>
  <si>
    <t>Vuodet</t>
  </si>
  <si>
    <t xml:space="preserve">Asunnon velaton hinta + VVS + Remontit + remonttivara = </t>
  </si>
  <si>
    <t>Lainan järjestelypalkkiot</t>
  </si>
  <si>
    <t>Asunnon velaton hinta + pintaremontti=</t>
  </si>
  <si>
    <t>Edistynyt vuokratuottolaskuri</t>
  </si>
  <si>
    <t>Rahoitusvastikkeen kirjanpitokäsittely</t>
  </si>
  <si>
    <t xml:space="preserve">Rahastoitu </t>
  </si>
  <si>
    <t>Tuloutettu</t>
  </si>
  <si>
    <t>Valitse</t>
  </si>
  <si>
    <t>RISKISKENAARIOT</t>
  </si>
  <si>
    <t>Kriittinen korkopiste alussa</t>
  </si>
  <si>
    <t>Korot +1%-yksikköä</t>
  </si>
  <si>
    <t>Korot +2%-yksikköä</t>
  </si>
  <si>
    <t>Korot +4%-yksikköä</t>
  </si>
  <si>
    <t>Lainan lyhennys</t>
  </si>
  <si>
    <t>Kassavirta ennen lyhennystä</t>
  </si>
  <si>
    <t>KASSAVIRTALASKELMA</t>
  </si>
  <si>
    <t>Kassavirta brutto / KK</t>
  </si>
  <si>
    <t>Kassavirta brutto / Vuosi</t>
  </si>
  <si>
    <t>Kassavirta netto / Vuosi</t>
  </si>
  <si>
    <t>Kassavirta netto / KK</t>
  </si>
  <si>
    <t>1 tyhjä kuukausi - vuokratuotto%</t>
  </si>
  <si>
    <t>2 tyhjää kuukautta - vuokratuotto%</t>
  </si>
  <si>
    <t>3 tyhjää kuukautta - vuokratuotto%</t>
  </si>
  <si>
    <t>Vuokratuotto euroina (vuodessa)</t>
  </si>
  <si>
    <t>Tuotto omalle pääomalle alussa</t>
  </si>
  <si>
    <t>Yksinkertainen vuokratuottolaskuri</t>
  </si>
  <si>
    <t>2. YHTIÖLAINA</t>
  </si>
  <si>
    <t>3. RAHOITUS</t>
  </si>
  <si>
    <t>Vuokrankorotus vuodessa %</t>
  </si>
  <si>
    <t>Vuokratulojen vero%</t>
  </si>
  <si>
    <t>Pankkilainan laina-aika</t>
  </si>
  <si>
    <t>Annuiteetti</t>
  </si>
  <si>
    <t>Tasalyhennys</t>
  </si>
  <si>
    <t>Verot vuokratuloista</t>
  </si>
  <si>
    <t>Kerrytetty extratuotto</t>
  </si>
  <si>
    <t>Yht</t>
  </si>
  <si>
    <t>Kerrytetty kassav.</t>
  </si>
  <si>
    <t>Bullet</t>
  </si>
  <si>
    <t>Vuokrankorotus</t>
  </si>
  <si>
    <t>Kerrytetty positiivinen kassavirta (netto)</t>
  </si>
  <si>
    <t>Tyhjät kuukaudet</t>
  </si>
  <si>
    <t>Vuokratuottolaskurin ohjeet</t>
  </si>
  <si>
    <t>KOHTEEN PERUSTIEDOT</t>
  </si>
  <si>
    <t>Kohteen velaton hinta sisältää myyntihinnan ja mahdolliset yhtiölainaosuudet</t>
  </si>
  <si>
    <t>Täytä tähän kenttään asunnon vuokra tai arvio vuokrasta. Huom. Jätä pois vesimaksut ja muut käyttökorvaukset, jotka menevät kauttasi taloyhtiölle.</t>
  </si>
  <si>
    <t>Voit laittaa vuosittaisen prosenttiperusteisen vuokrankorotuksen, joka vaikuttaa saatavan kassavirran määrään tunnusluku-graafissa toisesta vuodesta eteenpäin.</t>
  </si>
  <si>
    <t>Jos asunnon sijainti ei ole aivan keskustassa, on hyvä laskea pieni varaus tyhjille kuukausille. Voit käyttää esim. 0,5-1 tyhjää kuukautta /vuosi, jolloin vaikutus näkyy kassavirrassa ja vuokratuotossa.</t>
  </si>
  <si>
    <t xml:space="preserve">Asunnon koko ei ole pakollinen kenttä, mutta sen avulla näet neliöhinnan, -vuokran ja -vastikkeen. </t>
  </si>
  <si>
    <t xml:space="preserve">Laita tähän asunnon hoitovastike. Älä täytä kenttään mahdollisia rahoitusvastikkeita tai vesi- ja saunamaksuja jotka vuokralainen maksaa kauttasi taloyhtiölle. </t>
  </si>
  <si>
    <t>Jos asunto-osakkeeseen kohdistuu yhtiölainaa, merkkaa lainan yhteissumma tähän. Jos asunnossa on useampia yhtiölainoja, laita kaikkien lainojen yhteissumma.</t>
  </si>
  <si>
    <t>Taloyhtiö voi joko tulouttaa tai rahastoida osakkaiden maksamat rahoitusvastikkeet kirjanpidossaan. Tuloutettavat vastikkeet ovat vähennyskelpoisia heti, rahastoidut siirtyvät hankintamenoon (ovat vähennettävissä vasta asuntoa myydessä)
Katso taloyhtiön tilinpäätöksestä tai kysy isännöitsijältä vastikkeiden kirjanpitokäsittely, ja valitse valikosta oikea vaihtoehto.</t>
  </si>
  <si>
    <t>Merkkaa tähän kauppaan käytetyn käteisrahan osuus. Merkkaa vain käteisen osuus, vaikka käyttäisit vapaata vakuutta jostain muusta asunnosta / omaisuudesta, jotta laskuri laskee lainarahalle koron ja lyhennyksen oikein.</t>
  </si>
  <si>
    <t>Pankkilainan kokonaiskorko, marginaali + viitekorko. Kannattaa testata kassavirran kestävyyttä myös nykyistä huomattavasti korkeammilla koroilla.</t>
  </si>
  <si>
    <t>Pankkilainan laina-aika. Laskuri hyväksyy maksimissaan 25 vuoden laina-ajan.</t>
  </si>
  <si>
    <t>Laita tähän muut sivukulut, kuten lainan perustamiskustannukset ja järjestelypalkkiot.</t>
  </si>
  <si>
    <t>Vuokratulojen verotusprosentti. Yksityishenkilöillä pääomatulovero 30% 30.000 euroon saakka, ja siitä ylöspäin 34%. Osakeyhtiöillä yhteisövero 20%. Veroprosentilla on vaikutus nettokassavirtaan.</t>
  </si>
  <si>
    <t>On hyvä varata asunnon sisäiseen pintaremonttiin hieman remonttivaraa. Tässä tapauksessa remonttivara lasketaan laskurissa suoraan hankintahintaan.</t>
  </si>
  <si>
    <t>Vanhemmissa kohteissa täytyy aina laskea asuntoa kohden remonttivara taloyhtiön remontteihin. Merkkaa tähän kokonaishinta asuntoa kohden, jonka voit arvioida suuntaa-antavasti allaolevasta yleisimpien remonttien taulukosta.</t>
  </si>
  <si>
    <t>Voit spekuloida asunnon arvonnousulla asettamalla vuosittaisen arvonnousuprosentin. Näet pitkän tähtäimen arvonkehityksen graafista.</t>
  </si>
  <si>
    <r>
      <t xml:space="preserve">Asunnon vuokratuotto </t>
    </r>
    <r>
      <rPr>
        <b/>
        <i/>
        <sz val="10"/>
        <color theme="0"/>
        <rFont val="Segoe UI"/>
        <family val="2"/>
        <scheme val="minor"/>
      </rPr>
      <t xml:space="preserve">sijoitetulle pääomalle </t>
    </r>
    <r>
      <rPr>
        <i/>
        <sz val="10"/>
        <color theme="0"/>
        <rFont val="Segoe UI"/>
        <family val="2"/>
        <scheme val="minor"/>
      </rPr>
      <t>- näin paljon asunto tuottaa vuodessa. Käytä tätä lukua vertaillessasi eri asuntojen tuottoja keskenään, ja pystyt nopeasti erottelemaan hyvät sijoituskohteet huonoista.</t>
    </r>
  </si>
  <si>
    <t>TULOKSIEN ANALYSOINTI</t>
  </si>
  <si>
    <t>Tämän verran asunnosta jää vuokratuottoa euroina vuodessa (vuokrat - hoitovastikkeet - lainojen korot). Huomaa, että jos kohteessa on runsaasti yhtiölainaa, luku ei pidä paikkaansa koska laskuri ei ota huomioon yhtiölainojen korkoja.</t>
  </si>
  <si>
    <r>
      <t xml:space="preserve">Tämän verran asunto </t>
    </r>
    <r>
      <rPr>
        <b/>
        <i/>
        <sz val="10"/>
        <color theme="0"/>
        <rFont val="Segoe UI"/>
        <family val="2"/>
        <scheme val="minor"/>
      </rPr>
      <t xml:space="preserve">tuottaa omalle pääomallesi </t>
    </r>
    <r>
      <rPr>
        <i/>
        <sz val="10"/>
        <color theme="0"/>
        <rFont val="Segoe UI"/>
        <family val="2"/>
        <scheme val="minor"/>
      </rPr>
      <t>(ostoon käytetylle käteiselle rahalle). Tämä prosentti vastaa ainoastaan alkutilannetta, koska pääoma asunnossa kasvaa jokaisella lainanlyhennyksellä, ja pienentää oman pääoman tuottoa.</t>
    </r>
  </si>
  <si>
    <t xml:space="preserve">Asunnon velaton hinta per neliö helpottamaan alueen tai kaupungin hintavertailua. </t>
  </si>
  <si>
    <t>Asunnon neliövuokra, jota voit verrata tarvittaessa vastaavien kohteiden neliövuokriin.</t>
  </si>
  <si>
    <t>Asunnon hoitovastike jaettuna neliöillä. Keskimäärin hoitovastike on noin 3,50-4,50€/m2. Jos vastike on yli tai alle tuon, kannattaa tarkastaa taloyhtiön tilinpäätöksestä ja budjetista syy poikkeukselliselle hoitovastikkeelle.</t>
  </si>
  <si>
    <t>Jos olet määritellyt vuosittaisen arvonnousuprosentin asunnolle, tässä näet paljonko spekuloitu arvonnousu on kuukaudessa.</t>
  </si>
  <si>
    <t>Jos olet määritellyt asunnolle arvonnousuprosentin, näin paljon euroina asuntosi arvo nousee vuodessa. Graafista näet asunnon arvonnousun vuosien kuluessa, niin että korko lasketaan korkoa korolle periaatteella edellisen vuoden arvosta.</t>
  </si>
  <si>
    <t>Vuosittaisen arvonnousun tuotto omalle pääomalle. Jos strategiana on ostaa spekulatiivisia kohteita potentiaalisilta arvonnousualueilta velkavivulla, tämä mittari on hyödyllinen.</t>
  </si>
  <si>
    <t>RISKISKENAARIOIDEN ANALYSOINTI</t>
  </si>
  <si>
    <t>Bruttokassavirta, kun hoitovastikkeet, rahoitusvastikkeet ja lainan korko on vähennetty vuokratulosta. Jos laina on lyhennysvapaalla, tämän verran kassavirtaa jää käteen kuukaudessa ennen veroja.</t>
  </si>
  <si>
    <t>Pankkilainan lyhennyksen osuus. Tämä osuus vaikuttaa kassavirtaan, mutta lyhentää samalla asuntoon kohdistuvaa lainaa.</t>
  </si>
  <si>
    <t xml:space="preserve">Bruttokassavirta, kun hoito- ja rahoitusvastikkeet sekä lainan korko ja lyhennys on vähennetty vuokratulosta ennen veroja. </t>
  </si>
  <si>
    <t>Sama kuin edellinen kohta, mutta koko vuodelle. Huom. Laskelma ei ota huomioon mahdollisia tyhjiä kuukausia tai vuokrankorotuksia.</t>
  </si>
  <si>
    <t>Kuukauden vuokratuoton veron määrä laskettuna kohteen perustiedoissa annetulla veroprosentilla. Jos asuntoon kohdistuu yhtiölainaa, laskelma ottaa huomioon rahastoidun/tuloutetun yhtiölainan.</t>
  </si>
  <si>
    <t>Kassavirta kuukaudessa, josta on vähennetty veron osuus. Tämän verran jää konkreettisesti rahaa tilillesi menojen jälkeen, jota voi käyttää esimerkiksi seuraavien asuntojen käsirahaksi.</t>
  </si>
  <si>
    <t>Sama kuin edellinen kohta, mutta koko vuoden kassavirta.</t>
  </si>
  <si>
    <t xml:space="preserve">Jos lainan korko (viitekorko + marginaali) nousee näin korkeaksi, ei vuokratuotto enää riitä kattamaan korkokuluja ja asunnon tuotto kääntyy negatiiviseksi. Arvioi kuinka todennäköistä tällainen koronnousu on ja mitoita velkavipu sen mukaan. Kriittinen piste muuttuu lainan määrän pienentyessä. 12 * 100 * (vuokra - hoitovastike) / (jäljellä olevan lainan määrä) </t>
  </si>
  <si>
    <t>Korot +X%-yksikköä</t>
  </si>
  <si>
    <t>X tyhjä kuukausi - vuokratuotto%</t>
  </si>
  <si>
    <t>Vuokratuottoprosentti eri tyhjien kuukausien määrällä. Tästä näet nopeasti miten tyhjät kuukaudet vaikuttavat asunnon tuottoon. Mitä huonompi sijainti, sitä suuremmalla syyllä kannattaa ottaa huomioon tyhjien kuukausien vara.</t>
  </si>
  <si>
    <t>ASUNNON TUNNUSLUKUJEN KEHITTYMINEN</t>
  </si>
  <si>
    <t>Jos määrität kohteen perustietoihin arvonnousuprosentin, näet asunnon arvonmuutoksen tuleville vuosille. Arvonnousu on laskettu korkoa korolle -periaatteella aina edellisen vuoden arvon päälle kerran vuodessa.</t>
  </si>
  <si>
    <t>Graafista näet asunnon eri tunnuslukujen kehittymisen matkan varrella. Graafi päivittyy itsestään vastaamaan pankkilainan laina-aikaa. Huom! Vaikka et käyttäisi pankkilainaa ollenkaan, laitathan laina-ajaksi jonkun vuosimäärän, jotta kuvaajat päivittyvät sen mukaan.</t>
  </si>
  <si>
    <t xml:space="preserve">Lyhennyksen osuus </t>
  </si>
  <si>
    <t>Annuit. Lainan lyhennys</t>
  </si>
  <si>
    <t>Annuit. Lainaerä</t>
  </si>
  <si>
    <t>Lainaa alussa</t>
  </si>
  <si>
    <t>Valitse valikosta lainan lyhennystapa, joka vaikuttaa hieman kunkin maksuerän suuruuteen, ja sitä kautta kassavirtaan. Voit valita annuiteettilainan, tasaerälainan tai bullet-lainan.</t>
  </si>
  <si>
    <t>Yhtiölainan määrä</t>
  </si>
  <si>
    <t>Yhtiölainan korko</t>
  </si>
  <si>
    <t>Yhtiölainan laina-aika</t>
  </si>
  <si>
    <t>Yhtiölainan lyhennystapa</t>
  </si>
  <si>
    <t>Yhtiölainaerä yhteensä</t>
  </si>
  <si>
    <t>Yhtiölainan lyhennysosuus</t>
  </si>
  <si>
    <t>Yh lainaa alussa</t>
  </si>
  <si>
    <t>Yhl. Ann. Lainaerä</t>
  </si>
  <si>
    <t>Yhl. Ann. Lyhennys</t>
  </si>
  <si>
    <t>Yhl. Jäljellä</t>
  </si>
  <si>
    <t>Tämä kuvaaja näyttää asunnon oman pääoman osuuden kehityksen, sitä mukaa kun pankkilaina ja yhtiölaina lyhenevät.</t>
  </si>
  <si>
    <t>KOHTEEN TIETOJEN SYÖTTÄMINEN</t>
  </si>
  <si>
    <t>YHTIÖLAINA</t>
  </si>
  <si>
    <t>Laita tähän yhtiölainan korko (viitekorko + marginaali). Uudiskohteisssa löydät yhtiölainan tiedot myyntiesitteistä, ja vanhoissa kohteissa isännöitsijäntodistuksesta. Jos kohteessa on useampia yhtiölainoja, laskuri ei laske yhtiölainaa täysin tarkasti oikein. Arvioi silloin tähän keskiarvokorko.</t>
  </si>
  <si>
    <t>RAHOITUS</t>
  </si>
  <si>
    <t>Valitse valikosta yhtiölainan lyhennystapa, jos se on tiedossa. Jos yhtiöllä on useampia lainoja eri lyhennystavoilla, valitse vaihtoehdoista se, jolla yhtiölainan kuukausittainen maksuerä vastaa paremmin oikeasti maksettavaa summaa. Tällöin laskelma ei ole tarkka, ja oman pääoman graafi ei näytä tietoja aivan tarkasti, mutta hyvin lähelle oikein.</t>
  </si>
  <si>
    <t>Merkkaa tähän yhtiölainan laina-aika. Tiedot löytyvät uudiskohteiden myyntiesitteistä, tai vanhoissa asunnoissa isännöitsijäntodistuksesta. Jos laina-aikaa ei ole tiedossa tai yhtiöllä on useita eri mittaisia lainoja, säädä laina-aika sellaiseksi että "yhtiölainan lainaerä" tulee lähelle kuukausittaisen rahoitusvastikkeen määrää. Tällöin laskelma ei ole tarkka, vaan arvio.</t>
  </si>
  <si>
    <t>Pankkilainan lyhennystapa</t>
  </si>
  <si>
    <t>REMONTIT</t>
  </si>
  <si>
    <t>POTENTIAALI</t>
  </si>
  <si>
    <t>SYÖTÄ KOHTEEN TIEDOT</t>
  </si>
  <si>
    <t>Pankkilainan lyhennys</t>
  </si>
  <si>
    <t>Pankkilainan maksuerä yht.</t>
  </si>
  <si>
    <t>Varainsiirtovero kauppahinnasta</t>
  </si>
  <si>
    <t>Kassavirta ennen pankkilainanmaksua</t>
  </si>
  <si>
    <t>Kassavirta pankkilainanmaksun jälkeen</t>
  </si>
  <si>
    <t>Edistyneen laskurin valintavaihtoehdot</t>
  </si>
  <si>
    <t>Yksinkertaisen laskurin valintavaihtoehdot</t>
  </si>
  <si>
    <t>Vuokratuottojen vero%</t>
  </si>
  <si>
    <t>Kassavirta verojen jälkeen /kk</t>
  </si>
  <si>
    <t>Kassavirta verojen jälkeen /vuosi</t>
  </si>
  <si>
    <t>Vero vuokratuloista</t>
  </si>
  <si>
    <t>Vuokratuotto%</t>
  </si>
  <si>
    <t>Vuokratuotto euroina vuodessa</t>
  </si>
  <si>
    <t>KASSAVIRTA /KK</t>
  </si>
  <si>
    <t xml:space="preserve">Lainanhoitokulut </t>
  </si>
  <si>
    <t xml:space="preserve">Rahoitusvastike </t>
  </si>
  <si>
    <t>Taloyhtiöremonttien vara</t>
  </si>
  <si>
    <t>Asunnon remonttivara</t>
  </si>
  <si>
    <t>Asunnon pinta-ala</t>
  </si>
  <si>
    <t>KASSAVIRTALASKELMA /KK</t>
  </si>
  <si>
    <t>Verot vuokratuloista /KK</t>
  </si>
  <si>
    <t>KORKOJEN MUUTOS /KK</t>
  </si>
  <si>
    <t>TYHJÄT KUUKAUDET VUODESSA</t>
  </si>
  <si>
    <t>Ei tyhjiä kuukausia</t>
  </si>
  <si>
    <t>Kassavirta (netto)</t>
  </si>
  <si>
    <t>Alku</t>
  </si>
  <si>
    <t>Lainoja jäljellä yht.</t>
  </si>
  <si>
    <t>Yhl+pl lyheneminen</t>
  </si>
  <si>
    <t>Kassavirta lyhennyksen jälkeen</t>
  </si>
  <si>
    <t>Extratuotto</t>
  </si>
  <si>
    <t>Kerätty kassavirta</t>
  </si>
  <si>
    <t>vapautunut vakuusarvo</t>
  </si>
  <si>
    <t>Pankin antama vakuusarvo asunnolle</t>
  </si>
  <si>
    <t>Tuotto</t>
  </si>
  <si>
    <t>Koko extratuotto</t>
  </si>
  <si>
    <t>Kerrytetty extratuotto korkoa korolle</t>
  </si>
  <si>
    <t>Kassavirta netto /KK</t>
  </si>
  <si>
    <t>TALOYHTIÖN REMONTTIVARAT</t>
  </si>
  <si>
    <t>REMONTTI</t>
  </si>
  <si>
    <t>HINTA (EUR/M2)</t>
  </si>
  <si>
    <t>Täydellinen linjasaneeraus (viemärit, putket, märkätilat, sähköt, sauna)</t>
  </si>
  <si>
    <t>Putkien kunnostus (viemärin pinnoitus, uudet käyttövesiputket ja sähkölinjat)</t>
  </si>
  <si>
    <t>Katto</t>
  </si>
  <si>
    <t>Julkisivu</t>
  </si>
  <si>
    <t>Parveke</t>
  </si>
  <si>
    <t>Ikkunat</t>
  </si>
  <si>
    <t>Hissin modernisointi</t>
  </si>
  <si>
    <t>Hissin rakentaminen</t>
  </si>
  <si>
    <t>150 - 300€</t>
  </si>
  <si>
    <t>500 – 900€</t>
  </si>
  <si>
    <t>250 – 500€</t>
  </si>
  <si>
    <t>40 – 80€</t>
  </si>
  <si>
    <t>50 – 200€</t>
  </si>
  <si>
    <t>80 – 120€</t>
  </si>
  <si>
    <t>125 - 200te /hissi</t>
  </si>
  <si>
    <t>60 - 90te / hissi</t>
  </si>
  <si>
    <t>Jos pankkilainan korko (viitekorko + marginaali) nousee X prosenttiyksikköä, näet skenaariot kuinka kassavirralle käy.</t>
  </si>
  <si>
    <t>Asunnon arvon kehitys</t>
  </si>
  <si>
    <t>Lainan määrä</t>
  </si>
  <si>
    <t>Tästä kuvaajasta näet lainojen (pankkilainan ja yhtiölainan) lyhenemisen. Valittu lyhennystapa (annuiteetti, tasalyhenteinen tai bullet) vaikuttaa lainan lyhenemiseen. Useimmiten sijoitusasuntolainat ovat annuiteettilainoja.</t>
  </si>
  <si>
    <t>Tästä näet kuinka paljon ajan myötä asunto kerryttää positiivista tai negatiivista kassavirtaa. Yhteissummaan lisätään aina jokaisen kuukauden nettokassavirta (lainan korot, lyhennykset ja verot maksettuna).</t>
  </si>
  <si>
    <t>Varallisuuden kehitys korkoa korolle</t>
  </si>
  <si>
    <t>Tämä kuvaaja näyttää, kuinka teoriassa korkoa korolle-efekti puree, jos asunnon kassavirta, vapautuneet vakuudet (lyhentyneet lainat) ja asunnon mahdollisen arvonnousun tuoma lisävakuus sijoitettaisiin vuosittain 10% korolla.</t>
  </si>
  <si>
    <t>Tämä vuokratuottolaskuri on tarkoitettu ainoastaan toimimaan esimerkkinä ja auttamaan Asiakkaitamme heidän omien tuottolaskureiden laadinnassa. Sijoitusasunnot.com Group Oyj ei vastaa tämä laskurin oikeellisuudesta, virheettömyydestä, puutteettomuudesta eikä soveltuvuudesta Asiakkaan käyttöön. Asiakas vastaa itse vuokratuottolaskurin käytöstä ja sen muokkaamisesta sopimaan omaan tarkoitukseensa. Sijoitusasunnot.com Group Oyj ei vastaa miltään osin vuokratuottolaskurin käyttämisestä mahdollisesti aiheutuvista vahingoista tai niiden aiheuttamista riitatilanteista Asiakkaan ja Asiakkaan sopimuskumppanin välillä.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</si>
</sst>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_(* #,##0.00_);_(* \(#,##0.00\);_(* &quot;-&quot;??_);_(@_)"/>
    <numFmt numFmtId="166" formatCode="#,##0.00\ [$€-1007];\-#,##0.00\ [$€-1007]"/>
    <numFmt numFmtId="167" formatCode="#,##0.00&quot; €/kk&quot;;"/>
    <numFmt numFmtId="168" formatCode="_-* #,##0.00\ [$€-1]_-;\-* #,##0.00\ [$€-1]_-;_-* &quot;-&quot;??\ [$€-1]_-;_-@_-"/>
    <numFmt numFmtId="169" formatCode="#,##0.00&quot; €/kk&quot;;[Red]#,##0.00&quot; €/kk&quot;;"/>
    <numFmt numFmtId="170" formatCode="#,###&quot; m2&quot;"/>
    <numFmt numFmtId="171" formatCode="#,##0.00&quot; €&quot;;[Red]\-#,##0.00&quot; €&quot;;"/>
    <numFmt numFmtId="172" formatCode="#,##0.00\ &quot;€&quot;"/>
  </numFmts>
  <fonts count="47" x14ac:knownFonts="1">
    <font>
      <sz val="10"/>
      <color theme="2"/>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b/>
      <sz val="11"/>
      <color theme="0"/>
      <name val="Segoe UI"/>
      <family val="2"/>
      <scheme val="minor"/>
    </font>
    <font>
      <sz val="11"/>
      <color theme="0"/>
      <name val="Segoe UI"/>
      <family val="2"/>
      <scheme val="minor"/>
    </font>
    <font>
      <sz val="11"/>
      <color theme="2"/>
      <name val="Segoe UI"/>
      <family val="2"/>
      <scheme val="minor"/>
    </font>
    <font>
      <b/>
      <sz val="12"/>
      <color theme="0"/>
      <name val="Segoe UI"/>
      <family val="2"/>
      <scheme val="minor"/>
    </font>
    <font>
      <sz val="10"/>
      <color theme="0"/>
      <name val="Segoe UI"/>
      <family val="2"/>
      <scheme val="minor"/>
    </font>
    <font>
      <sz val="20"/>
      <color theme="0"/>
      <name val="Segoe UI"/>
      <family val="2"/>
      <scheme val="minor"/>
    </font>
    <font>
      <sz val="12"/>
      <color theme="0"/>
      <name val="Segoe UI"/>
      <family val="2"/>
      <scheme val="minor"/>
    </font>
    <font>
      <b/>
      <sz val="10"/>
      <color theme="3"/>
      <name val="Segoe UI"/>
      <family val="2"/>
      <scheme val="minor"/>
    </font>
    <font>
      <b/>
      <sz val="10"/>
      <color theme="0"/>
      <name val="Segoe UI"/>
      <family val="2"/>
      <scheme val="minor"/>
    </font>
    <font>
      <sz val="48"/>
      <color theme="0"/>
      <name val="Cambria"/>
      <family val="2"/>
      <scheme val="major"/>
    </font>
    <font>
      <sz val="10"/>
      <color theme="2"/>
      <name val="Segoe UI"/>
      <family val="2"/>
      <scheme val="minor"/>
    </font>
    <font>
      <b/>
      <sz val="10"/>
      <color theme="2"/>
      <name val="Segoe UI"/>
      <family val="2"/>
      <scheme val="minor"/>
    </font>
    <font>
      <b/>
      <sz val="14"/>
      <color theme="0"/>
      <name val="Segoe UI"/>
      <family val="2"/>
      <scheme val="minor"/>
    </font>
    <font>
      <b/>
      <sz val="20"/>
      <color theme="0"/>
      <name val="Segoe UI"/>
      <family val="2"/>
      <scheme val="minor"/>
    </font>
    <font>
      <i/>
      <sz val="10"/>
      <color theme="0"/>
      <name val="Segoe UI"/>
      <family val="2"/>
      <scheme val="minor"/>
    </font>
    <font>
      <b/>
      <sz val="12"/>
      <color rgb="FFFF0000"/>
      <name val="Segoe UI"/>
      <family val="2"/>
      <scheme val="minor"/>
    </font>
    <font>
      <i/>
      <sz val="10"/>
      <color theme="0" tint="-0.34998626667073579"/>
      <name val="Segoe UI"/>
      <family val="2"/>
      <scheme val="minor"/>
    </font>
    <font>
      <b/>
      <i/>
      <sz val="10"/>
      <color theme="3" tint="0.79998168889431442"/>
      <name val="Segoe UI"/>
      <family val="2"/>
      <scheme val="minor"/>
    </font>
    <font>
      <b/>
      <sz val="11"/>
      <color theme="6" tint="-0.249977111117893"/>
      <name val="Segoe UI"/>
      <family val="2"/>
      <scheme val="minor"/>
    </font>
    <font>
      <b/>
      <sz val="10"/>
      <color rgb="FFC00000"/>
      <name val="Segoe UI"/>
      <family val="2"/>
      <scheme val="minor"/>
    </font>
    <font>
      <b/>
      <i/>
      <sz val="10"/>
      <color theme="0"/>
      <name val="Segoe UI"/>
      <family val="2"/>
      <scheme val="minor"/>
    </font>
    <font>
      <i/>
      <sz val="10"/>
      <color theme="3" tint="0.39997558519241921"/>
      <name val="Segoe UI"/>
      <family val="2"/>
      <scheme val="minor"/>
    </font>
    <font>
      <b/>
      <i/>
      <sz val="11"/>
      <color theme="2"/>
      <name val="Segoe UI"/>
      <family val="2"/>
      <scheme val="minor"/>
    </font>
    <font>
      <b/>
      <i/>
      <sz val="10"/>
      <color theme="2"/>
      <name val="Segoe UI"/>
      <family val="2"/>
      <scheme val="minor"/>
    </font>
    <font>
      <sz val="9"/>
      <color indexed="81"/>
      <name val="Tahoma"/>
      <family val="2"/>
    </font>
    <font>
      <sz val="11"/>
      <color rgb="FFFF0000"/>
      <name val="Segoe UI"/>
      <family val="2"/>
      <scheme val="minor"/>
    </font>
    <font>
      <b/>
      <sz val="11"/>
      <color rgb="FFFF0000"/>
      <name val="Segoe UI"/>
      <family val="2"/>
      <scheme val="minor"/>
    </font>
    <font>
      <sz val="9"/>
      <color theme="2"/>
      <name val="Segoe UI"/>
      <family val="2"/>
      <scheme val="minor"/>
    </font>
    <font>
      <b/>
      <sz val="10"/>
      <color theme="3" tint="-0.249977111117893"/>
      <name val="Segoe UI"/>
      <family val="2"/>
      <scheme val="minor"/>
    </font>
    <font>
      <b/>
      <sz val="10"/>
      <color rgb="FF74CADA"/>
      <name val="Segoe UI"/>
      <family val="2"/>
      <scheme val="minor"/>
    </font>
    <font>
      <b/>
      <sz val="10"/>
      <color rgb="FF92D050"/>
      <name val="Segoe UI"/>
      <family val="2"/>
      <scheme val="minor"/>
    </font>
    <font>
      <b/>
      <sz val="10"/>
      <color rgb="FFF1603D"/>
      <name val="Segoe UI"/>
      <family val="2"/>
      <scheme val="minor"/>
    </font>
    <font>
      <b/>
      <sz val="10"/>
      <color theme="5"/>
      <name val="Segoe UI"/>
      <family val="2"/>
      <scheme val="minor"/>
    </font>
    <font>
      <sz val="10"/>
      <color rgb="FF92D050"/>
      <name val="Segoe UI"/>
      <family val="2"/>
      <scheme val="minor"/>
    </font>
    <font>
      <b/>
      <sz val="9"/>
      <color indexed="81"/>
      <name val="Tahoma"/>
      <family val="2"/>
    </font>
    <font>
      <sz val="9"/>
      <color rgb="FF000000"/>
      <name val="Tahoma"/>
      <family val="2"/>
    </font>
    <font>
      <b/>
      <sz val="12"/>
      <color theme="3"/>
      <name val="Segoe UI"/>
      <family val="2"/>
      <scheme val="minor"/>
    </font>
    <font>
      <i/>
      <sz val="12"/>
      <color theme="3" tint="0.59999389629810485"/>
      <name val="Segoe UI"/>
      <family val="2"/>
      <scheme val="minor"/>
    </font>
    <font>
      <b/>
      <i/>
      <sz val="12"/>
      <color theme="3" tint="0.79998168889431442"/>
      <name val="Segoe UI"/>
      <family val="2"/>
      <scheme val="minor"/>
    </font>
    <font>
      <b/>
      <sz val="12"/>
      <color rgb="FFC00000"/>
      <name val="Segoe UI"/>
      <family val="2"/>
      <scheme val="minor"/>
    </font>
    <font>
      <sz val="12"/>
      <color theme="2"/>
      <name val="Segoe UI"/>
      <family val="2"/>
      <scheme val="minor"/>
    </font>
    <font>
      <i/>
      <sz val="12"/>
      <color theme="0" tint="-0.34998626667073579"/>
      <name val="Segoe UI"/>
      <family val="2"/>
      <scheme val="minor"/>
    </font>
    <font>
      <b/>
      <sz val="12"/>
      <color theme="2"/>
      <name val="Segoe UI"/>
      <family val="2"/>
      <scheme val="minor"/>
    </font>
  </fonts>
  <fills count="14">
    <fill>
      <patternFill patternType="none"/>
    </fill>
    <fill>
      <patternFill patternType="gray125"/>
    </fill>
    <fill>
      <patternFill patternType="solid">
        <fgColor theme="3"/>
        <bgColor indexed="64"/>
      </patternFill>
    </fill>
    <fill>
      <patternFill patternType="solid">
        <fgColor theme="5"/>
        <bgColor theme="4" tint="0.79998168889431442"/>
      </patternFill>
    </fill>
    <fill>
      <patternFill patternType="solid">
        <fgColor theme="4"/>
        <bgColor indexed="64"/>
      </patternFill>
    </fill>
    <fill>
      <patternFill patternType="solid">
        <fgColor theme="0"/>
        <bgColor indexed="64"/>
      </patternFill>
    </fill>
    <fill>
      <patternFill patternType="solid">
        <fgColor theme="6"/>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rgb="FF74CADA"/>
        <bgColor indexed="64"/>
      </patternFill>
    </fill>
    <fill>
      <patternFill patternType="solid">
        <fgColor theme="5"/>
        <bgColor indexed="64"/>
      </patternFill>
    </fill>
    <fill>
      <patternFill patternType="solid">
        <fgColor rgb="FFF1603D"/>
        <bgColor indexed="64"/>
      </patternFill>
    </fill>
    <fill>
      <patternFill patternType="solid">
        <fgColor theme="3" tint="0.39997558519241921"/>
        <bgColor indexed="64"/>
      </patternFill>
    </fill>
    <fill>
      <patternFill patternType="solid">
        <fgColor rgb="FF92D050"/>
        <bgColor theme="4" tint="0.79998168889431442"/>
      </patternFill>
    </fill>
  </fills>
  <borders count="21">
    <border>
      <left/>
      <right/>
      <top/>
      <bottom/>
      <diagonal/>
    </border>
    <border>
      <left/>
      <right/>
      <top/>
      <bottom style="medium">
        <color theme="5"/>
      </bottom>
      <diagonal/>
    </border>
    <border>
      <left/>
      <right/>
      <top/>
      <bottom style="thin">
        <color theme="0"/>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right/>
      <top/>
      <bottom style="thick">
        <color rgb="FF74CADA"/>
      </bottom>
      <diagonal/>
    </border>
    <border>
      <left style="thin">
        <color theme="1" tint="0.34998626667073579"/>
      </left>
      <right style="thin">
        <color theme="1" tint="0.34998626667073579"/>
      </right>
      <top style="thin">
        <color theme="1" tint="0.34998626667073579"/>
      </top>
      <bottom/>
      <diagonal/>
    </border>
    <border>
      <left/>
      <right/>
      <top/>
      <bottom style="thick">
        <color theme="6"/>
      </bottom>
      <diagonal/>
    </border>
    <border>
      <left style="medium">
        <color theme="6" tint="0.39994506668294322"/>
      </left>
      <right style="medium">
        <color theme="6" tint="0.39994506668294322"/>
      </right>
      <top style="medium">
        <color theme="6" tint="0.39994506668294322"/>
      </top>
      <bottom style="medium">
        <color theme="6" tint="0.39994506668294322"/>
      </bottom>
      <diagonal/>
    </border>
    <border>
      <left/>
      <right/>
      <top/>
      <bottom style="thin">
        <color indexed="64"/>
      </bottom>
      <diagonal/>
    </border>
    <border>
      <left/>
      <right/>
      <top style="thick">
        <color rgb="FF92D050"/>
      </top>
      <bottom/>
      <diagonal/>
    </border>
    <border>
      <left/>
      <right/>
      <top style="thick">
        <color rgb="FF92D050"/>
      </top>
      <bottom style="medium">
        <color theme="5" tint="-0.499984740745262"/>
      </bottom>
      <diagonal/>
    </border>
    <border>
      <left/>
      <right/>
      <top/>
      <bottom style="thick">
        <color rgb="FF92D050"/>
      </bottom>
      <diagonal/>
    </border>
    <border>
      <left/>
      <right/>
      <top style="medium">
        <color theme="5" tint="-0.499984740745262"/>
      </top>
      <bottom style="medium">
        <color theme="5" tint="-0.499984740745262"/>
      </bottom>
      <diagonal/>
    </border>
    <border>
      <left style="thin">
        <color theme="0"/>
      </left>
      <right style="thin">
        <color theme="0"/>
      </right>
      <top/>
      <bottom style="thin">
        <color theme="0"/>
      </bottom>
      <diagonal/>
    </border>
    <border>
      <left/>
      <right/>
      <top style="thin">
        <color theme="0"/>
      </top>
      <bottom/>
      <diagonal/>
    </border>
    <border>
      <left/>
      <right style="thin">
        <color theme="0"/>
      </right>
      <top/>
      <bottom/>
      <diagonal/>
    </border>
    <border>
      <left/>
      <right style="thin">
        <color theme="0"/>
      </right>
      <top/>
      <bottom style="thin">
        <color theme="0"/>
      </bottom>
      <diagonal/>
    </border>
    <border>
      <left/>
      <right style="thin">
        <color theme="0"/>
      </right>
      <top style="thin">
        <color theme="0"/>
      </top>
      <bottom/>
      <diagonal/>
    </border>
    <border>
      <left style="thin">
        <color theme="0"/>
      </left>
      <right style="thin">
        <color theme="0"/>
      </right>
      <top/>
      <bottom/>
      <diagonal/>
    </border>
    <border>
      <left style="thin">
        <color theme="0"/>
      </left>
      <right style="thin">
        <color theme="0"/>
      </right>
      <top style="thin">
        <color theme="0"/>
      </top>
      <bottom/>
      <diagonal/>
    </border>
  </borders>
  <cellStyleXfs count="18">
    <xf numFmtId="0" fontId="0" fillId="5" borderId="0">
      <alignment vertical="center"/>
    </xf>
    <xf numFmtId="164" fontId="3" fillId="0" borderId="0" applyFont="0" applyFill="0" applyBorder="0" applyAlignment="0" applyProtection="0"/>
    <xf numFmtId="0" fontId="13" fillId="2" borderId="0" applyNumberFormat="0" applyBorder="0" applyAlignment="0" applyProtection="0"/>
    <xf numFmtId="0" fontId="9" fillId="2" borderId="0" applyNumberFormat="0" applyAlignment="0" applyProtection="0"/>
    <xf numFmtId="0" fontId="6" fillId="2" borderId="0" applyNumberFormat="0" applyAlignment="0" applyProtection="0"/>
    <xf numFmtId="0" fontId="4" fillId="2" borderId="0" applyNumberFormat="0" applyBorder="0" applyAlignment="0" applyProtection="0"/>
    <xf numFmtId="0" fontId="10" fillId="2" borderId="0" applyNumberFormat="0" applyBorder="0" applyAlignment="0" applyProtection="0"/>
    <xf numFmtId="9" fontId="14" fillId="0" borderId="0" applyFont="0" applyFill="0" applyBorder="0" applyAlignment="0" applyProtection="0"/>
    <xf numFmtId="0" fontId="4" fillId="2" borderId="2" applyAlignment="0" applyProtection="0"/>
    <xf numFmtId="0" fontId="15" fillId="6" borderId="0">
      <alignment vertical="center"/>
    </xf>
    <xf numFmtId="0" fontId="14" fillId="5" borderId="0">
      <alignment vertical="center"/>
    </xf>
    <xf numFmtId="164" fontId="2" fillId="0" borderId="0" applyFont="0" applyFill="0" applyBorder="0" applyAlignment="0" applyProtection="0"/>
    <xf numFmtId="165" fontId="2" fillId="0" borderId="0" applyFont="0" applyFill="0" applyBorder="0" applyAlignment="0" applyProtection="0"/>
    <xf numFmtId="0" fontId="4" fillId="2" borderId="0" applyNumberFormat="0" applyBorder="0" applyAlignment="0" applyProtection="0"/>
    <xf numFmtId="0" fontId="9" fillId="2" borderId="0" applyNumberFormat="0" applyAlignment="0" applyProtection="0"/>
    <xf numFmtId="164" fontId="1" fillId="0" borderId="0" applyFont="0" applyFill="0" applyBorder="0" applyAlignment="0" applyProtection="0"/>
    <xf numFmtId="165" fontId="1" fillId="0" borderId="0" applyFont="0" applyFill="0" applyBorder="0" applyAlignment="0" applyProtection="0"/>
    <xf numFmtId="171" fontId="11" fillId="3" borderId="4">
      <alignment horizontal="left" vertical="center" indent="1"/>
    </xf>
  </cellStyleXfs>
  <cellXfs count="159">
    <xf numFmtId="0" fontId="0" fillId="5" borderId="0" xfId="0">
      <alignment vertical="center"/>
    </xf>
    <xf numFmtId="0" fontId="6" fillId="2" borderId="0" xfId="4" applyAlignment="1">
      <alignment horizontal="left" vertical="center" indent="1"/>
    </xf>
    <xf numFmtId="0" fontId="6" fillId="2" borderId="0" xfId="4" applyAlignment="1">
      <alignment vertical="center"/>
    </xf>
    <xf numFmtId="0" fontId="4" fillId="2" borderId="0" xfId="13" applyAlignment="1">
      <alignment vertical="center"/>
    </xf>
    <xf numFmtId="0" fontId="8" fillId="2" borderId="0" xfId="13" applyFont="1" applyAlignment="1">
      <alignment vertical="center"/>
    </xf>
    <xf numFmtId="0" fontId="4" fillId="2" borderId="0" xfId="13" applyAlignment="1">
      <alignment horizontal="left" vertical="center"/>
    </xf>
    <xf numFmtId="0" fontId="12" fillId="2" borderId="0" xfId="13" applyFont="1" applyAlignment="1">
      <alignment vertical="center"/>
    </xf>
    <xf numFmtId="0" fontId="6" fillId="2" borderId="0" xfId="4" applyAlignment="1">
      <alignment horizontal="left" vertical="center"/>
    </xf>
    <xf numFmtId="0" fontId="19" fillId="2" borderId="0" xfId="13" applyFont="1" applyAlignment="1">
      <alignment vertical="center"/>
    </xf>
    <xf numFmtId="0" fontId="4" fillId="2" borderId="0" xfId="13" applyAlignment="1">
      <alignment horizontal="center" vertical="center"/>
    </xf>
    <xf numFmtId="0" fontId="4" fillId="2" borderId="0" xfId="13" applyAlignment="1">
      <alignment horizontal="left" vertical="center" indent="1"/>
    </xf>
    <xf numFmtId="0" fontId="12" fillId="2" borderId="0" xfId="13" applyFont="1" applyAlignment="1">
      <alignment horizontal="left" vertical="center" indent="1"/>
    </xf>
    <xf numFmtId="0" fontId="20" fillId="2" borderId="0" xfId="13" applyFont="1" applyAlignment="1">
      <alignment vertical="center"/>
    </xf>
    <xf numFmtId="0" fontId="8" fillId="2" borderId="0" xfId="13" applyFont="1" applyAlignment="1">
      <alignment horizontal="left" vertical="center" indent="2"/>
    </xf>
    <xf numFmtId="0" fontId="12" fillId="2" borderId="0" xfId="13" applyFont="1" applyAlignment="1">
      <alignment horizontal="left" vertical="center" indent="2"/>
    </xf>
    <xf numFmtId="168" fontId="6" fillId="2" borderId="0" xfId="4" applyNumberFormat="1" applyAlignment="1">
      <alignment vertical="center"/>
    </xf>
    <xf numFmtId="1" fontId="6" fillId="2" borderId="0" xfId="4" applyNumberFormat="1" applyAlignment="1">
      <alignment horizontal="left" vertical="center" indent="1"/>
    </xf>
    <xf numFmtId="166" fontId="21" fillId="8" borderId="3" xfId="15" applyNumberFormat="1" applyFont="1" applyFill="1" applyBorder="1" applyAlignment="1">
      <alignment horizontal="left" vertical="center" indent="1"/>
    </xf>
    <xf numFmtId="10" fontId="11" fillId="3" borderId="4" xfId="7" applyNumberFormat="1" applyFont="1" applyFill="1" applyBorder="1" applyAlignment="1">
      <alignment horizontal="left" vertical="center" indent="1"/>
    </xf>
    <xf numFmtId="166" fontId="11" fillId="3" borderId="4" xfId="10" applyNumberFormat="1" applyFont="1" applyFill="1" applyBorder="1" applyAlignment="1">
      <alignment horizontal="left" vertical="center" indent="1"/>
    </xf>
    <xf numFmtId="168" fontId="6" fillId="2" borderId="0" xfId="1" applyNumberFormat="1" applyFont="1" applyFill="1" applyAlignment="1">
      <alignment vertical="center"/>
    </xf>
    <xf numFmtId="0" fontId="16" fillId="2" borderId="5" xfId="13" applyFont="1" applyBorder="1" applyAlignment="1">
      <alignment vertical="center"/>
    </xf>
    <xf numFmtId="0" fontId="7" fillId="2" borderId="5" xfId="13" applyFont="1" applyBorder="1" applyAlignment="1">
      <alignment horizontal="left" vertical="center" indent="1"/>
    </xf>
    <xf numFmtId="0" fontId="4" fillId="2" borderId="5" xfId="13" applyBorder="1" applyAlignment="1">
      <alignment horizontal="left" vertical="center" indent="1"/>
    </xf>
    <xf numFmtId="0" fontId="14" fillId="2" borderId="0" xfId="4" applyFont="1" applyAlignment="1">
      <alignment vertical="center"/>
    </xf>
    <xf numFmtId="0" fontId="14" fillId="2" borderId="0" xfId="4" applyFont="1" applyAlignment="1">
      <alignment vertical="top" wrapText="1"/>
    </xf>
    <xf numFmtId="0" fontId="8" fillId="2" borderId="0" xfId="13" applyFont="1" applyAlignment="1">
      <alignment horizontal="left" vertical="center" indent="1"/>
    </xf>
    <xf numFmtId="0" fontId="22" fillId="2" borderId="0" xfId="13" applyFont="1" applyAlignment="1">
      <alignment vertical="center"/>
    </xf>
    <xf numFmtId="0" fontId="9" fillId="2" borderId="0" xfId="14" applyAlignment="1">
      <alignment horizontal="center" vertical="center"/>
    </xf>
    <xf numFmtId="0" fontId="0" fillId="2" borderId="0" xfId="4" applyFont="1" applyAlignment="1">
      <alignment horizontal="left" vertical="center" indent="1"/>
    </xf>
    <xf numFmtId="0" fontId="8" fillId="2" borderId="0" xfId="13" applyFont="1" applyAlignment="1">
      <alignment horizontal="left" vertical="center" indent="3"/>
    </xf>
    <xf numFmtId="168" fontId="6" fillId="2" borderId="0" xfId="4" applyNumberFormat="1" applyAlignment="1">
      <alignment horizontal="left" vertical="center"/>
    </xf>
    <xf numFmtId="166" fontId="4" fillId="2" borderId="0" xfId="13" applyNumberFormat="1" applyAlignment="1">
      <alignment vertical="center"/>
    </xf>
    <xf numFmtId="0" fontId="4" fillId="2" borderId="0" xfId="13" applyAlignment="1">
      <alignment horizontal="left" vertical="center" indent="2"/>
    </xf>
    <xf numFmtId="0" fontId="8" fillId="2" borderId="0" xfId="14" applyFont="1" applyAlignment="1">
      <alignment horizontal="left" vertical="center" indent="3"/>
    </xf>
    <xf numFmtId="171" fontId="11" fillId="3" borderId="4" xfId="17">
      <alignment horizontal="left" vertical="center" indent="1"/>
    </xf>
    <xf numFmtId="168" fontId="10" fillId="2" borderId="0" xfId="6" applyNumberFormat="1" applyBorder="1" applyAlignment="1">
      <alignment horizontal="left" vertical="center"/>
    </xf>
    <xf numFmtId="10" fontId="15" fillId="6" borderId="8" xfId="7" applyNumberFormat="1" applyFont="1" applyFill="1" applyBorder="1" applyAlignment="1">
      <alignment horizontal="left" vertical="center" indent="1"/>
    </xf>
    <xf numFmtId="172" fontId="15" fillId="6" borderId="8" xfId="7" applyNumberFormat="1" applyFont="1" applyFill="1" applyBorder="1" applyAlignment="1">
      <alignment horizontal="left" vertical="center" indent="1"/>
    </xf>
    <xf numFmtId="172" fontId="6" fillId="2" borderId="0" xfId="4" applyNumberFormat="1" applyAlignment="1">
      <alignment horizontal="left" vertical="center" indent="1"/>
    </xf>
    <xf numFmtId="172" fontId="4" fillId="2" borderId="0" xfId="13" applyNumberFormat="1" applyAlignment="1">
      <alignment horizontal="left" vertical="center" indent="1"/>
    </xf>
    <xf numFmtId="171" fontId="6" fillId="2" borderId="0" xfId="4" applyNumberFormat="1" applyAlignment="1">
      <alignment horizontal="left" vertical="center" indent="1"/>
    </xf>
    <xf numFmtId="0" fontId="16" fillId="2" borderId="0" xfId="13" applyFont="1" applyBorder="1" applyAlignment="1">
      <alignment vertical="center"/>
    </xf>
    <xf numFmtId="0" fontId="4" fillId="2" borderId="0" xfId="13" applyBorder="1" applyAlignment="1">
      <alignment horizontal="left" vertical="center" indent="1"/>
    </xf>
    <xf numFmtId="166" fontId="21" fillId="8" borderId="6" xfId="15" applyNumberFormat="1" applyFont="1" applyFill="1" applyBorder="1" applyAlignment="1">
      <alignment horizontal="left" vertical="center" indent="1"/>
    </xf>
    <xf numFmtId="166" fontId="4" fillId="2" borderId="0" xfId="13" applyNumberFormat="1" applyBorder="1" applyAlignment="1">
      <alignment horizontal="left" vertical="center" indent="1"/>
    </xf>
    <xf numFmtId="0" fontId="6" fillId="2" borderId="0" xfId="4" applyAlignment="1">
      <alignment horizontal="center" vertical="center"/>
    </xf>
    <xf numFmtId="0" fontId="5" fillId="2" borderId="0" xfId="13" applyFont="1" applyAlignment="1">
      <alignment vertical="center"/>
    </xf>
    <xf numFmtId="0" fontId="18" fillId="2" borderId="0" xfId="13" applyFont="1" applyAlignment="1">
      <alignment vertical="center" wrapText="1"/>
    </xf>
    <xf numFmtId="0" fontId="17" fillId="2" borderId="0" xfId="10" applyFont="1" applyFill="1" applyAlignment="1">
      <alignment horizontal="center" vertical="center"/>
    </xf>
    <xf numFmtId="0" fontId="25" fillId="2" borderId="0" xfId="13" applyFont="1" applyAlignment="1">
      <alignment vertical="center"/>
    </xf>
    <xf numFmtId="166" fontId="4" fillId="2" borderId="0" xfId="5" applyNumberFormat="1" applyBorder="1" applyAlignment="1">
      <alignment horizontal="left" vertical="center" indent="1"/>
    </xf>
    <xf numFmtId="0" fontId="27" fillId="2" borderId="9" xfId="4" applyFont="1" applyBorder="1" applyAlignment="1">
      <alignment vertical="center"/>
    </xf>
    <xf numFmtId="0" fontId="26" fillId="2" borderId="9" xfId="4" applyFont="1" applyBorder="1" applyAlignment="1">
      <alignment vertical="center"/>
    </xf>
    <xf numFmtId="0" fontId="12" fillId="2" borderId="0" xfId="13" applyFont="1" applyAlignment="1">
      <alignment horizontal="left" vertical="center"/>
    </xf>
    <xf numFmtId="0" fontId="7" fillId="2" borderId="12" xfId="13" applyFont="1" applyBorder="1" applyAlignment="1">
      <alignment horizontal="left" vertical="center" indent="1"/>
    </xf>
    <xf numFmtId="0" fontId="29" fillId="2" borderId="0" xfId="4" applyFont="1" applyAlignment="1">
      <alignment vertical="center"/>
    </xf>
    <xf numFmtId="0" fontId="30" fillId="2" borderId="0" xfId="13" applyFont="1" applyAlignment="1">
      <alignment vertical="center"/>
    </xf>
    <xf numFmtId="0" fontId="29" fillId="2" borderId="0" xfId="13" applyFont="1" applyAlignment="1">
      <alignment vertical="center"/>
    </xf>
    <xf numFmtId="0" fontId="18" fillId="2" borderId="0" xfId="13" applyFont="1" applyAlignment="1">
      <alignment horizontal="left" vertical="center" wrapText="1" indent="2"/>
    </xf>
    <xf numFmtId="0" fontId="18" fillId="2" borderId="0" xfId="13" applyFont="1" applyAlignment="1">
      <alignment horizontal="left" vertical="center" indent="2"/>
    </xf>
    <xf numFmtId="171" fontId="11" fillId="13" borderId="4" xfId="17" applyFill="1">
      <alignment horizontal="left" vertical="center" indent="1"/>
    </xf>
    <xf numFmtId="0" fontId="4" fillId="2" borderId="0" xfId="13" applyBorder="1" applyAlignment="1">
      <alignment vertical="center"/>
    </xf>
    <xf numFmtId="171" fontId="6" fillId="2" borderId="13" xfId="4" applyNumberFormat="1" applyBorder="1" applyAlignment="1">
      <alignment horizontal="left" vertical="center" indent="1"/>
    </xf>
    <xf numFmtId="0" fontId="4" fillId="2" borderId="0" xfId="13" applyBorder="1" applyAlignment="1">
      <alignment horizontal="left" vertical="center" indent="2"/>
    </xf>
    <xf numFmtId="0" fontId="31" fillId="2" borderId="0" xfId="4" applyFont="1" applyAlignment="1">
      <alignment vertical="center"/>
    </xf>
    <xf numFmtId="0" fontId="8" fillId="2" borderId="0" xfId="6" applyFont="1" applyBorder="1" applyAlignment="1">
      <alignment vertical="center"/>
    </xf>
    <xf numFmtId="0" fontId="12" fillId="2" borderId="0" xfId="5" applyFont="1" applyBorder="1" applyAlignment="1">
      <alignment horizontal="center" vertical="center"/>
    </xf>
    <xf numFmtId="0" fontId="12" fillId="2" borderId="0" xfId="13" applyFont="1" applyBorder="1" applyAlignment="1">
      <alignment horizontal="center" vertical="center"/>
    </xf>
    <xf numFmtId="0" fontId="33" fillId="2" borderId="0" xfId="13" applyFont="1" applyAlignment="1">
      <alignment vertical="center"/>
    </xf>
    <xf numFmtId="0" fontId="34" fillId="2" borderId="0" xfId="13" applyFont="1" applyAlignment="1">
      <alignment vertical="center"/>
    </xf>
    <xf numFmtId="0" fontId="35" fillId="2" borderId="0" xfId="13" applyFont="1" applyAlignment="1">
      <alignment vertical="top"/>
    </xf>
    <xf numFmtId="0" fontId="12" fillId="2" borderId="0" xfId="13" applyFont="1" applyAlignment="1">
      <alignment vertical="top"/>
    </xf>
    <xf numFmtId="0" fontId="33" fillId="2" borderId="0" xfId="13" applyFont="1" applyAlignment="1">
      <alignment horizontal="left" vertical="center" indent="2"/>
    </xf>
    <xf numFmtId="0" fontId="36" fillId="2" borderId="0" xfId="13" applyFont="1" applyAlignment="1">
      <alignment horizontal="left" vertical="center" indent="2"/>
    </xf>
    <xf numFmtId="0" fontId="35" fillId="2" borderId="0" xfId="13" applyFont="1" applyAlignment="1">
      <alignment horizontal="left" vertical="center"/>
    </xf>
    <xf numFmtId="0" fontId="12" fillId="2" borderId="0" xfId="13" applyFont="1" applyAlignment="1">
      <alignment horizontal="left" vertical="top" indent="2"/>
    </xf>
    <xf numFmtId="0" fontId="35" fillId="2" borderId="0" xfId="13" applyFont="1" applyAlignment="1">
      <alignment horizontal="left" vertical="top" indent="2"/>
    </xf>
    <xf numFmtId="0" fontId="12" fillId="2" borderId="0" xfId="13" applyFont="1" applyBorder="1" applyAlignment="1">
      <alignment horizontal="left" vertical="center" indent="2"/>
    </xf>
    <xf numFmtId="0" fontId="33" fillId="2" borderId="0" xfId="13" applyFont="1" applyBorder="1" applyAlignment="1">
      <alignment horizontal="left" vertical="center"/>
    </xf>
    <xf numFmtId="0" fontId="34" fillId="2" borderId="0" xfId="13" applyFont="1" applyAlignment="1">
      <alignment horizontal="left" vertical="center" indent="2"/>
    </xf>
    <xf numFmtId="0" fontId="37" fillId="2" borderId="0" xfId="13" applyFont="1" applyAlignment="1">
      <alignment horizontal="left" vertical="center" indent="3"/>
    </xf>
    <xf numFmtId="0" fontId="34" fillId="2" borderId="0" xfId="14" applyFont="1" applyAlignment="1">
      <alignment horizontal="left" vertical="center" indent="2"/>
    </xf>
    <xf numFmtId="0" fontId="34" fillId="2" borderId="0" xfId="13" applyFont="1" applyAlignment="1">
      <alignment horizontal="left" vertical="center"/>
    </xf>
    <xf numFmtId="0" fontId="33" fillId="2" borderId="0" xfId="13" applyFont="1" applyAlignment="1">
      <alignment horizontal="left" vertical="center"/>
    </xf>
    <xf numFmtId="166" fontId="21" fillId="12" borderId="6" xfId="15" applyNumberFormat="1" applyFont="1" applyFill="1" applyBorder="1" applyAlignment="1">
      <alignment horizontal="left" vertical="center" indent="1"/>
    </xf>
    <xf numFmtId="0" fontId="12" fillId="2" borderId="0" xfId="13" applyFont="1" applyBorder="1" applyAlignment="1">
      <alignment vertical="center"/>
    </xf>
    <xf numFmtId="0" fontId="12" fillId="2" borderId="2" xfId="13" applyFont="1" applyBorder="1" applyAlignment="1">
      <alignment vertical="center"/>
    </xf>
    <xf numFmtId="0" fontId="4" fillId="2" borderId="2" xfId="13" applyBorder="1" applyAlignment="1">
      <alignment vertical="center"/>
    </xf>
    <xf numFmtId="0" fontId="12" fillId="2" borderId="17" xfId="13" applyFont="1" applyBorder="1" applyAlignment="1">
      <alignment vertical="center"/>
    </xf>
    <xf numFmtId="0" fontId="8" fillId="2" borderId="0" xfId="13" applyFont="1" applyBorder="1" applyAlignment="1">
      <alignment vertical="center"/>
    </xf>
    <xf numFmtId="0" fontId="12" fillId="2" borderId="16" xfId="13" applyFont="1" applyBorder="1" applyAlignment="1">
      <alignment vertical="center"/>
    </xf>
    <xf numFmtId="0" fontId="12" fillId="2" borderId="14" xfId="13" applyFont="1" applyBorder="1" applyAlignment="1">
      <alignment horizontal="left" vertical="center" indent="1"/>
    </xf>
    <xf numFmtId="0" fontId="12" fillId="2" borderId="20" xfId="13" applyFont="1" applyBorder="1" applyAlignment="1">
      <alignment horizontal="left" vertical="center" indent="1"/>
    </xf>
    <xf numFmtId="0" fontId="12" fillId="2" borderId="19" xfId="13" applyFont="1" applyBorder="1" applyAlignment="1">
      <alignment horizontal="left" vertical="center" indent="1"/>
    </xf>
    <xf numFmtId="166" fontId="11" fillId="9" borderId="3" xfId="15" applyNumberFormat="1" applyFont="1" applyFill="1" applyBorder="1" applyAlignment="1" applyProtection="1">
      <alignment horizontal="left" vertical="center" indent="1"/>
      <protection locked="0"/>
    </xf>
    <xf numFmtId="166" fontId="11" fillId="4" borderId="3" xfId="15" applyNumberFormat="1" applyFont="1" applyFill="1" applyBorder="1" applyAlignment="1" applyProtection="1">
      <alignment horizontal="left" vertical="center" indent="1"/>
      <protection locked="0"/>
    </xf>
    <xf numFmtId="9" fontId="11" fillId="4" borderId="3" xfId="7" applyFont="1" applyFill="1" applyBorder="1" applyAlignment="1" applyProtection="1">
      <alignment horizontal="left" vertical="center" indent="1"/>
      <protection locked="0"/>
    </xf>
    <xf numFmtId="1" fontId="11" fillId="4" borderId="3" xfId="15" applyNumberFormat="1" applyFont="1" applyFill="1" applyBorder="1" applyAlignment="1" applyProtection="1">
      <alignment horizontal="left" vertical="center" indent="1"/>
      <protection locked="0"/>
    </xf>
    <xf numFmtId="170" fontId="11" fillId="4" borderId="3" xfId="15" applyNumberFormat="1" applyFont="1" applyFill="1" applyBorder="1" applyAlignment="1" applyProtection="1">
      <alignment horizontal="left" vertical="center" indent="1"/>
      <protection locked="0"/>
    </xf>
    <xf numFmtId="10" fontId="11" fillId="4" borderId="6" xfId="7" applyNumberFormat="1" applyFont="1" applyFill="1" applyBorder="1" applyAlignment="1" applyProtection="1">
      <alignment horizontal="left" vertical="center" indent="1"/>
      <protection locked="0"/>
    </xf>
    <xf numFmtId="0" fontId="11" fillId="4" borderId="6" xfId="15" applyNumberFormat="1" applyFont="1" applyFill="1" applyBorder="1" applyAlignment="1" applyProtection="1">
      <alignment horizontal="left" vertical="center" indent="1"/>
      <protection locked="0"/>
    </xf>
    <xf numFmtId="0" fontId="23" fillId="4" borderId="6" xfId="15" applyNumberFormat="1" applyFont="1" applyFill="1" applyBorder="1" applyAlignment="1" applyProtection="1">
      <alignment horizontal="left" vertical="center" indent="1"/>
      <protection locked="0"/>
    </xf>
    <xf numFmtId="0" fontId="23" fillId="9" borderId="3" xfId="13" applyFont="1" applyFill="1" applyBorder="1" applyAlignment="1" applyProtection="1">
      <alignment horizontal="left" vertical="center" indent="1"/>
      <protection locked="0"/>
    </xf>
    <xf numFmtId="10" fontId="23" fillId="4" borderId="3" xfId="7" applyNumberFormat="1" applyFont="1" applyFill="1" applyBorder="1" applyAlignment="1" applyProtection="1">
      <alignment horizontal="left" vertical="center" indent="1"/>
      <protection locked="0"/>
    </xf>
    <xf numFmtId="10" fontId="11" fillId="4" borderId="3" xfId="7" applyNumberFormat="1" applyFont="1" applyFill="1" applyBorder="1" applyAlignment="1" applyProtection="1">
      <alignment horizontal="left" vertical="center" indent="1"/>
      <protection locked="0"/>
    </xf>
    <xf numFmtId="1" fontId="11" fillId="4" borderId="3" xfId="7" applyNumberFormat="1" applyFont="1" applyFill="1" applyBorder="1" applyAlignment="1" applyProtection="1">
      <alignment horizontal="left" vertical="center" indent="1"/>
      <protection locked="0"/>
    </xf>
    <xf numFmtId="0" fontId="8" fillId="2" borderId="0" xfId="13" applyFont="1" applyAlignment="1" applyProtection="1">
      <alignment vertical="center"/>
    </xf>
    <xf numFmtId="0" fontId="7" fillId="2" borderId="0" xfId="13" applyFont="1" applyAlignment="1">
      <alignment vertical="center"/>
    </xf>
    <xf numFmtId="0" fontId="7" fillId="2" borderId="0" xfId="13" applyFont="1" applyAlignment="1">
      <alignment horizontal="left" vertical="center" indent="1"/>
    </xf>
    <xf numFmtId="0" fontId="10" fillId="2" borderId="0" xfId="13" applyFont="1" applyAlignment="1">
      <alignment vertical="center"/>
    </xf>
    <xf numFmtId="166" fontId="40" fillId="9" borderId="3" xfId="15" applyNumberFormat="1" applyFont="1" applyFill="1" applyBorder="1" applyAlignment="1" applyProtection="1">
      <alignment horizontal="left" vertical="center" indent="1"/>
      <protection locked="0"/>
    </xf>
    <xf numFmtId="0" fontId="41" fillId="2" borderId="0" xfId="13" applyFont="1" applyAlignment="1">
      <alignment vertical="center"/>
    </xf>
    <xf numFmtId="166" fontId="42" fillId="8" borderId="6" xfId="15" applyNumberFormat="1" applyFont="1" applyFill="1" applyBorder="1" applyAlignment="1">
      <alignment horizontal="left" vertical="center" indent="1"/>
    </xf>
    <xf numFmtId="166" fontId="40" fillId="4" borderId="3" xfId="15" applyNumberFormat="1" applyFont="1" applyFill="1" applyBorder="1" applyAlignment="1" applyProtection="1">
      <alignment horizontal="left" vertical="center" indent="1"/>
      <protection locked="0"/>
    </xf>
    <xf numFmtId="0" fontId="7" fillId="2" borderId="2" xfId="8" applyFont="1" applyAlignment="1">
      <alignment horizontal="left" vertical="center" indent="1"/>
    </xf>
    <xf numFmtId="166" fontId="43" fillId="4" borderId="0" xfId="15" applyNumberFormat="1" applyFont="1" applyFill="1" applyBorder="1" applyAlignment="1" applyProtection="1">
      <alignment horizontal="left" vertical="center" indent="1"/>
      <protection locked="0"/>
    </xf>
    <xf numFmtId="0" fontId="44" fillId="2" borderId="0" xfId="4" applyFont="1" applyAlignment="1">
      <alignment vertical="center"/>
    </xf>
    <xf numFmtId="10" fontId="40" fillId="4" borderId="3" xfId="7" applyNumberFormat="1" applyFont="1" applyFill="1" applyBorder="1" applyAlignment="1" applyProtection="1">
      <alignment horizontal="left" vertical="center" indent="1"/>
      <protection locked="0"/>
    </xf>
    <xf numFmtId="1" fontId="40" fillId="4" borderId="3" xfId="7" applyNumberFormat="1" applyFont="1" applyFill="1" applyBorder="1" applyAlignment="1" applyProtection="1">
      <alignment horizontal="left" vertical="center" indent="1"/>
      <protection locked="0"/>
    </xf>
    <xf numFmtId="166" fontId="44" fillId="2" borderId="0" xfId="4" applyNumberFormat="1" applyFont="1" applyAlignment="1">
      <alignment horizontal="left" vertical="center" indent="1"/>
    </xf>
    <xf numFmtId="0" fontId="44" fillId="2" borderId="0" xfId="4" applyFont="1" applyAlignment="1">
      <alignment horizontal="left" vertical="center" indent="1"/>
    </xf>
    <xf numFmtId="0" fontId="45" fillId="2" borderId="0" xfId="13" applyFont="1" applyAlignment="1">
      <alignment vertical="center"/>
    </xf>
    <xf numFmtId="0" fontId="7" fillId="2" borderId="10" xfId="13" applyFont="1" applyBorder="1" applyAlignment="1">
      <alignment vertical="center"/>
    </xf>
    <xf numFmtId="0" fontId="7" fillId="2" borderId="11" xfId="13" applyFont="1" applyBorder="1" applyAlignment="1">
      <alignment horizontal="left" vertical="center" indent="1"/>
    </xf>
    <xf numFmtId="0" fontId="10" fillId="2" borderId="0" xfId="13" applyFont="1" applyAlignment="1">
      <alignment horizontal="left" vertical="center"/>
    </xf>
    <xf numFmtId="10" fontId="40" fillId="3" borderId="4" xfId="7" applyNumberFormat="1" applyFont="1" applyFill="1" applyBorder="1" applyAlignment="1">
      <alignment horizontal="left" vertical="center" indent="1"/>
    </xf>
    <xf numFmtId="166" fontId="40" fillId="3" borderId="4" xfId="10" applyNumberFormat="1" applyFont="1" applyFill="1" applyBorder="1" applyAlignment="1">
      <alignment horizontal="left" vertical="center" indent="1"/>
    </xf>
    <xf numFmtId="0" fontId="7" fillId="2" borderId="12" xfId="13" applyFont="1" applyBorder="1" applyAlignment="1">
      <alignment vertical="center"/>
    </xf>
    <xf numFmtId="167" fontId="40" fillId="3" borderId="4" xfId="10" applyNumberFormat="1" applyFont="1" applyFill="1" applyBorder="1" applyAlignment="1">
      <alignment horizontal="left" vertical="center" indent="1"/>
    </xf>
    <xf numFmtId="169" fontId="40" fillId="3" borderId="4" xfId="10" applyNumberFormat="1" applyFont="1" applyFill="1" applyBorder="1" applyAlignment="1">
      <alignment horizontal="left" vertical="center" indent="1"/>
    </xf>
    <xf numFmtId="167" fontId="44" fillId="2" borderId="0" xfId="4" applyNumberFormat="1" applyFont="1" applyAlignment="1">
      <alignment horizontal="left" vertical="center" indent="1"/>
    </xf>
    <xf numFmtId="0" fontId="7" fillId="2" borderId="0" xfId="13" applyFont="1" applyAlignment="1">
      <alignment horizontal="left" vertical="center"/>
    </xf>
    <xf numFmtId="0" fontId="46" fillId="2" borderId="0" xfId="4" applyFont="1" applyAlignment="1">
      <alignment horizontal="left" vertical="center"/>
    </xf>
    <xf numFmtId="0" fontId="44" fillId="7" borderId="0" xfId="4" applyFont="1" applyFill="1" applyAlignment="1">
      <alignment vertical="center"/>
    </xf>
    <xf numFmtId="0" fontId="8" fillId="2" borderId="0" xfId="10" applyFont="1" applyFill="1" applyAlignment="1">
      <alignment horizontal="center" vertical="top" wrapText="1"/>
    </xf>
    <xf numFmtId="0" fontId="17" fillId="2" borderId="0" xfId="10" applyFont="1" applyFill="1" applyAlignment="1">
      <alignment horizontal="center" vertical="center"/>
    </xf>
    <xf numFmtId="0" fontId="4" fillId="2" borderId="0" xfId="13" applyAlignment="1">
      <alignment horizontal="left" vertical="center"/>
    </xf>
    <xf numFmtId="0" fontId="16" fillId="2" borderId="7" xfId="13" applyFont="1" applyBorder="1" applyAlignment="1">
      <alignment horizontal="left" vertical="center"/>
    </xf>
    <xf numFmtId="0" fontId="16" fillId="2" borderId="1" xfId="13" applyFont="1" applyBorder="1" applyAlignment="1">
      <alignment horizontal="left" vertical="center"/>
    </xf>
    <xf numFmtId="0" fontId="12" fillId="2" borderId="0" xfId="13" applyFont="1" applyAlignment="1">
      <alignment horizontal="left" vertical="top" wrapText="1"/>
    </xf>
    <xf numFmtId="0" fontId="18" fillId="2" borderId="0" xfId="13" applyFont="1" applyAlignment="1">
      <alignment horizontal="left" vertical="center" wrapText="1" indent="2"/>
    </xf>
    <xf numFmtId="0" fontId="18" fillId="2" borderId="0" xfId="13" applyFont="1" applyAlignment="1">
      <alignment horizontal="left" vertical="center" wrapText="1"/>
    </xf>
    <xf numFmtId="0" fontId="18" fillId="2" borderId="0" xfId="13" applyFont="1" applyAlignment="1">
      <alignment horizontal="left" vertical="center" indent="2"/>
    </xf>
    <xf numFmtId="0" fontId="18" fillId="2" borderId="0" xfId="13" applyFont="1" applyAlignment="1">
      <alignment horizontal="left" vertical="top" wrapText="1" indent="2"/>
    </xf>
    <xf numFmtId="0" fontId="18" fillId="2" borderId="0" xfId="13" applyFont="1" applyAlignment="1">
      <alignment horizontal="left" vertical="top" wrapText="1"/>
    </xf>
    <xf numFmtId="0" fontId="32" fillId="9" borderId="0" xfId="13" applyFont="1" applyFill="1" applyBorder="1" applyAlignment="1">
      <alignment horizontal="center" vertical="center"/>
    </xf>
    <xf numFmtId="0" fontId="32" fillId="11" borderId="0" xfId="13" applyFont="1" applyFill="1" applyBorder="1" applyAlignment="1">
      <alignment horizontal="center" vertical="center"/>
    </xf>
    <xf numFmtId="0" fontId="8" fillId="2" borderId="0" xfId="6" applyFont="1" applyBorder="1" applyAlignment="1">
      <alignment horizontal="left" vertical="center"/>
    </xf>
    <xf numFmtId="0" fontId="32" fillId="10" borderId="0" xfId="13" applyFont="1" applyFill="1" applyBorder="1" applyAlignment="1">
      <alignment horizontal="center" vertical="center"/>
    </xf>
    <xf numFmtId="0" fontId="34" fillId="2" borderId="0" xfId="13" applyFont="1" applyAlignment="1">
      <alignment horizontal="left" vertical="center"/>
    </xf>
    <xf numFmtId="0" fontId="8" fillId="2" borderId="0" xfId="13" applyFont="1" applyBorder="1" applyAlignment="1">
      <alignment horizontal="left" vertical="top" wrapText="1"/>
    </xf>
    <xf numFmtId="0" fontId="8" fillId="2" borderId="16" xfId="13" applyFont="1" applyBorder="1" applyAlignment="1">
      <alignment horizontal="left" vertical="top" wrapText="1"/>
    </xf>
    <xf numFmtId="0" fontId="8" fillId="2" borderId="15" xfId="13" applyFont="1" applyBorder="1" applyAlignment="1">
      <alignment horizontal="left" vertical="center" wrapText="1"/>
    </xf>
    <xf numFmtId="0" fontId="8" fillId="2" borderId="18" xfId="13" applyFont="1" applyBorder="1" applyAlignment="1">
      <alignment horizontal="left" vertical="center" wrapText="1"/>
    </xf>
    <xf numFmtId="0" fontId="8" fillId="2" borderId="0" xfId="13" applyFont="1" applyBorder="1" applyAlignment="1">
      <alignment horizontal="left" vertical="center" wrapText="1"/>
    </xf>
    <xf numFmtId="0" fontId="8" fillId="2" borderId="16" xfId="13" applyFont="1" applyBorder="1" applyAlignment="1">
      <alignment horizontal="left" vertical="center" wrapText="1"/>
    </xf>
    <xf numFmtId="0" fontId="6" fillId="2" borderId="0" xfId="4" applyAlignment="1">
      <alignment horizontal="center" vertical="center"/>
    </xf>
    <xf numFmtId="0" fontId="27" fillId="2" borderId="9" xfId="4" applyFont="1" applyBorder="1" applyAlignment="1">
      <alignment horizontal="center" vertical="center"/>
    </xf>
  </cellXfs>
  <cellStyles count="18">
    <cellStyle name="Comma 2" xfId="12" xr:uid="{00000000-0005-0000-0000-000000000000}"/>
    <cellStyle name="Comma 2 2" xfId="16" xr:uid="{00000000-0005-0000-0000-000001000000}"/>
    <cellStyle name="Currency 2" xfId="11" xr:uid="{00000000-0005-0000-0000-000003000000}"/>
    <cellStyle name="Currency 2 2" xfId="15" xr:uid="{00000000-0005-0000-0000-000004000000}"/>
    <cellStyle name="Heading 1 2" xfId="14" xr:uid="{00000000-0005-0000-0000-000006000000}"/>
    <cellStyle name="Heading 3 2" xfId="8" xr:uid="{00000000-0005-0000-0000-000009000000}"/>
    <cellStyle name="Heading 3 2 2" xfId="13" xr:uid="{00000000-0005-0000-0000-00000A000000}"/>
    <cellStyle name="Negatiivinen" xfId="9" xr:uid="{00000000-0005-0000-0000-00000C000000}"/>
    <cellStyle name="Normaali" xfId="0" builtinId="0" customBuiltin="1"/>
    <cellStyle name="Normal 2" xfId="10" xr:uid="{00000000-0005-0000-0000-00000E000000}"/>
    <cellStyle name="Otsikko" xfId="2" builtinId="15" customBuiltin="1"/>
    <cellStyle name="Otsikko 1" xfId="3" builtinId="16" customBuiltin="1"/>
    <cellStyle name="Otsikko 2" xfId="4" builtinId="17" customBuiltin="1"/>
    <cellStyle name="Otsikko 3" xfId="5" builtinId="18" customBuiltin="1"/>
    <cellStyle name="Otsikko 4" xfId="6" builtinId="19" customBuiltin="1"/>
    <cellStyle name="Prosenttia" xfId="7" builtinId="5"/>
    <cellStyle name="Valuutta" xfId="1" builtinId="4"/>
    <cellStyle name="Vihreä" xfId="17" xr:uid="{00000000-0005-0000-0000-000011000000}"/>
  </cellStyles>
  <dxfs count="0"/>
  <tableStyles count="0" defaultTableStyle="TableStyleMedium2" defaultPivotStyle="PivotStyleLight16"/>
  <colors>
    <mruColors>
      <color rgb="FF74CADA"/>
      <color rgb="FFF1603D"/>
      <color rgb="FFFF6600"/>
      <color rgb="FFFF5050"/>
      <color rgb="FF2C93A4"/>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fi-FI"/>
              <a:t>Asunnon tunnuslukujen kehittyminen</a:t>
            </a:r>
          </a:p>
        </c:rich>
      </c:tx>
      <c:layout>
        <c:manualLayout>
          <c:xMode val="edge"/>
          <c:yMode val="edge"/>
          <c:x val="0.24495737357705516"/>
          <c:y val="3.3444810181829175E-2"/>
        </c:manualLayout>
      </c:layout>
      <c:overlay val="0"/>
      <c:spPr>
        <a:noFill/>
        <a:ln>
          <a:noFill/>
        </a:ln>
        <a:effectLst/>
      </c:spPr>
    </c:title>
    <c:autoTitleDeleted val="0"/>
    <c:plotArea>
      <c:layout>
        <c:manualLayout>
          <c:layoutTarget val="inner"/>
          <c:xMode val="edge"/>
          <c:yMode val="edge"/>
          <c:x val="0.17873669086422075"/>
          <c:y val="0.12908643350337812"/>
          <c:w val="0.76167804024496955"/>
          <c:h val="0.52289775666960625"/>
        </c:manualLayout>
      </c:layout>
      <c:lineChart>
        <c:grouping val="standard"/>
        <c:varyColors val="0"/>
        <c:ser>
          <c:idx val="0"/>
          <c:order val="0"/>
          <c:tx>
            <c:v>Asunnon arvon kehitys</c:v>
          </c:tx>
          <c:spPr>
            <a:ln w="34925" cap="rnd">
              <a:solidFill>
                <a:schemeClr val="accent1"/>
              </a:solidFill>
              <a:round/>
            </a:ln>
            <a:effectLst>
              <a:outerShdw blurRad="57150" dist="19050" dir="5400000" algn="ctr" rotWithShape="0">
                <a:srgbClr val="000000">
                  <a:alpha val="63000"/>
                </a:srgbClr>
              </a:outerShdw>
            </a:effectLst>
          </c:spPr>
          <c:marker>
            <c:symbol val="none"/>
          </c:marker>
          <c:cat>
            <c:strRef>
              <c:f>'Data vuosina'!$B$5:$B$30</c:f>
              <c:strCache>
                <c:ptCount val="21"/>
                <c:pt idx="0">
                  <c:v>Alku</c:v>
                </c:pt>
                <c:pt idx="1">
                  <c:v>1 vuosi</c:v>
                </c:pt>
                <c:pt idx="2">
                  <c:v>2 vuosi</c:v>
                </c:pt>
                <c:pt idx="3">
                  <c:v>3 vuosi</c:v>
                </c:pt>
                <c:pt idx="4">
                  <c:v>4 vuosi</c:v>
                </c:pt>
                <c:pt idx="5">
                  <c:v>5 vuosi</c:v>
                </c:pt>
                <c:pt idx="6">
                  <c:v>6 vuosi</c:v>
                </c:pt>
                <c:pt idx="7">
                  <c:v>7 vuosi</c:v>
                </c:pt>
                <c:pt idx="8">
                  <c:v>8 vuosi</c:v>
                </c:pt>
                <c:pt idx="9">
                  <c:v>9 vuosi</c:v>
                </c:pt>
                <c:pt idx="10">
                  <c:v>10 vuosi</c:v>
                </c:pt>
                <c:pt idx="11">
                  <c:v>11 vuosi</c:v>
                </c:pt>
                <c:pt idx="12">
                  <c:v>12 vuosi</c:v>
                </c:pt>
                <c:pt idx="13">
                  <c:v>13 vuosi</c:v>
                </c:pt>
                <c:pt idx="14">
                  <c:v>14 vuosi</c:v>
                </c:pt>
                <c:pt idx="15">
                  <c:v>15 vuosi</c:v>
                </c:pt>
                <c:pt idx="16">
                  <c:v>16 vuosi</c:v>
                </c:pt>
                <c:pt idx="17">
                  <c:v>17 vuosi</c:v>
                </c:pt>
                <c:pt idx="18">
                  <c:v>18 vuosi</c:v>
                </c:pt>
                <c:pt idx="19">
                  <c:v>19 vuosi</c:v>
                </c:pt>
                <c:pt idx="20">
                  <c:v>20 vuosi</c:v>
                </c:pt>
              </c:strCache>
            </c:strRef>
          </c:cat>
          <c:val>
            <c:numRef>
              <c:f>'Data vuosina'!$C$5:$C$30</c:f>
              <c:numCache>
                <c:formatCode>_-* #\ ##0.00\ [$€-1]_-;\-* #\ ##0.00\ [$€-1]_-;_-* "-"??\ [$€-1]_-;_-@_-</c:formatCode>
                <c:ptCount val="21"/>
                <c:pt idx="0">
                  <c:v>77000</c:v>
                </c:pt>
                <c:pt idx="1">
                  <c:v>77770</c:v>
                </c:pt>
                <c:pt idx="2">
                  <c:v>78547.7</c:v>
                </c:pt>
                <c:pt idx="3">
                  <c:v>79333.176999999996</c:v>
                </c:pt>
                <c:pt idx="4">
                  <c:v>80126.50877</c:v>
                </c:pt>
                <c:pt idx="5">
                  <c:v>80927.773857699998</c:v>
                </c:pt>
                <c:pt idx="6">
                  <c:v>81737.051596277</c:v>
                </c:pt>
                <c:pt idx="7">
                  <c:v>82554.422112239772</c:v>
                </c:pt>
                <c:pt idx="8">
                  <c:v>83379.966333362172</c:v>
                </c:pt>
                <c:pt idx="9">
                  <c:v>84213.765996695787</c:v>
                </c:pt>
                <c:pt idx="10">
                  <c:v>85055.903656662747</c:v>
                </c:pt>
                <c:pt idx="11">
                  <c:v>85906.462693229376</c:v>
                </c:pt>
                <c:pt idx="12">
                  <c:v>86765.527320161666</c:v>
                </c:pt>
                <c:pt idx="13">
                  <c:v>87633.182593363279</c:v>
                </c:pt>
                <c:pt idx="14">
                  <c:v>88509.514419296916</c:v>
                </c:pt>
                <c:pt idx="15">
                  <c:v>89394.609563489881</c:v>
                </c:pt>
                <c:pt idx="16">
                  <c:v>90288.555659124773</c:v>
                </c:pt>
                <c:pt idx="17">
                  <c:v>91191.441215716026</c:v>
                </c:pt>
                <c:pt idx="18">
                  <c:v>92103.355627873185</c:v>
                </c:pt>
                <c:pt idx="19">
                  <c:v>93024.389184151922</c:v>
                </c:pt>
                <c:pt idx="20">
                  <c:v>93954.633075993435</c:v>
                </c:pt>
              </c:numCache>
            </c:numRef>
          </c:val>
          <c:smooth val="0"/>
          <c:extLst>
            <c:ext xmlns:c16="http://schemas.microsoft.com/office/drawing/2014/chart" uri="{C3380CC4-5D6E-409C-BE32-E72D297353CC}">
              <c16:uniqueId val="{00000000-6468-4E0D-B3AD-02EFB7A880B9}"/>
            </c:ext>
          </c:extLst>
        </c:ser>
        <c:ser>
          <c:idx val="1"/>
          <c:order val="1"/>
          <c:tx>
            <c:v>Lainan määrä (yhtiölaina + pankkilaina)</c:v>
          </c:tx>
          <c:spPr>
            <a:ln w="34925"/>
            <a:effectLst>
              <a:outerShdw blurRad="50800" dist="12700" dir="5400000" algn="ctr" rotWithShape="0">
                <a:srgbClr val="000000">
                  <a:alpha val="60000"/>
                </a:srgbClr>
              </a:outerShdw>
            </a:effectLst>
          </c:spPr>
          <c:marker>
            <c:symbol val="none"/>
          </c:marker>
          <c:cat>
            <c:strRef>
              <c:f>'Data vuosina'!$B$5:$B$30</c:f>
              <c:strCache>
                <c:ptCount val="21"/>
                <c:pt idx="0">
                  <c:v>Alku</c:v>
                </c:pt>
                <c:pt idx="1">
                  <c:v>1 vuosi</c:v>
                </c:pt>
                <c:pt idx="2">
                  <c:v>2 vuosi</c:v>
                </c:pt>
                <c:pt idx="3">
                  <c:v>3 vuosi</c:v>
                </c:pt>
                <c:pt idx="4">
                  <c:v>4 vuosi</c:v>
                </c:pt>
                <c:pt idx="5">
                  <c:v>5 vuosi</c:v>
                </c:pt>
                <c:pt idx="6">
                  <c:v>6 vuosi</c:v>
                </c:pt>
                <c:pt idx="7">
                  <c:v>7 vuosi</c:v>
                </c:pt>
                <c:pt idx="8">
                  <c:v>8 vuosi</c:v>
                </c:pt>
                <c:pt idx="9">
                  <c:v>9 vuosi</c:v>
                </c:pt>
                <c:pt idx="10">
                  <c:v>10 vuosi</c:v>
                </c:pt>
                <c:pt idx="11">
                  <c:v>11 vuosi</c:v>
                </c:pt>
                <c:pt idx="12">
                  <c:v>12 vuosi</c:v>
                </c:pt>
                <c:pt idx="13">
                  <c:v>13 vuosi</c:v>
                </c:pt>
                <c:pt idx="14">
                  <c:v>14 vuosi</c:v>
                </c:pt>
                <c:pt idx="15">
                  <c:v>15 vuosi</c:v>
                </c:pt>
                <c:pt idx="16">
                  <c:v>16 vuosi</c:v>
                </c:pt>
                <c:pt idx="17">
                  <c:v>17 vuosi</c:v>
                </c:pt>
                <c:pt idx="18">
                  <c:v>18 vuosi</c:v>
                </c:pt>
                <c:pt idx="19">
                  <c:v>19 vuosi</c:v>
                </c:pt>
                <c:pt idx="20">
                  <c:v>20 vuosi</c:v>
                </c:pt>
              </c:strCache>
            </c:strRef>
          </c:cat>
          <c:val>
            <c:numRef>
              <c:f>'Data vuosina'!$E$5:$E$30</c:f>
              <c:numCache>
                <c:formatCode>_-* #\ ##0.00\ [$€-1]_-;\-* #\ ##0.00\ [$€-1]_-;_-* "-"??\ [$€-1]_-;_-@_-</c:formatCode>
                <c:ptCount val="21"/>
                <c:pt idx="0">
                  <c:v>53209.012468012894</c:v>
                </c:pt>
                <c:pt idx="1">
                  <c:v>50406.949431337358</c:v>
                </c:pt>
                <c:pt idx="2">
                  <c:v>47548.328557687579</c:v>
                </c:pt>
                <c:pt idx="3">
                  <c:v>44632.008263565491</c:v>
                </c:pt>
                <c:pt idx="4">
                  <c:v>41656.823923345662</c:v>
                </c:pt>
                <c:pt idx="5">
                  <c:v>38621.587404184815</c:v>
                </c:pt>
                <c:pt idx="6">
                  <c:v>35525.086591543732</c:v>
                </c:pt>
                <c:pt idx="7">
                  <c:v>32366.084905132248</c:v>
                </c:pt>
                <c:pt idx="8">
                  <c:v>29143.320805083771</c:v>
                </c:pt>
                <c:pt idx="9">
                  <c:v>25855.507288162342</c:v>
                </c:pt>
                <c:pt idx="10">
                  <c:v>22611.747518411994</c:v>
                </c:pt>
                <c:pt idx="11">
                  <c:v>20529.305644598575</c:v>
                </c:pt>
                <c:pt idx="12">
                  <c:v>18404.831023318056</c:v>
                </c:pt>
                <c:pt idx="13">
                  <c:v>16237.475250645295</c:v>
                </c:pt>
                <c:pt idx="14">
                  <c:v>14026.372798168548</c:v>
                </c:pt>
                <c:pt idx="15">
                  <c:v>11770.640667342766</c:v>
                </c:pt>
                <c:pt idx="16">
                  <c:v>9469.3780368662083</c:v>
                </c:pt>
                <c:pt idx="17">
                  <c:v>7121.6659029395632</c:v>
                </c:pt>
                <c:pt idx="18">
                  <c:v>4726.5667122639652</c:v>
                </c:pt>
                <c:pt idx="19">
                  <c:v>2283.123987631297</c:v>
                </c:pt>
                <c:pt idx="20">
                  <c:v>-209.63805404273404</c:v>
                </c:pt>
              </c:numCache>
            </c:numRef>
          </c:val>
          <c:smooth val="0"/>
          <c:extLst>
            <c:ext xmlns:c16="http://schemas.microsoft.com/office/drawing/2014/chart" uri="{C3380CC4-5D6E-409C-BE32-E72D297353CC}">
              <c16:uniqueId val="{00000001-6468-4E0D-B3AD-02EFB7A880B9}"/>
            </c:ext>
          </c:extLst>
        </c:ser>
        <c:ser>
          <c:idx val="2"/>
          <c:order val="2"/>
          <c:tx>
            <c:v>Oman pääoman kehitys</c:v>
          </c:tx>
          <c:spPr>
            <a:ln w="34925" cap="rnd">
              <a:solidFill>
                <a:schemeClr val="accent3"/>
              </a:solidFill>
              <a:round/>
            </a:ln>
            <a:effectLst>
              <a:outerShdw blurRad="57150" dist="19050" dir="5400000" algn="ctr" rotWithShape="0">
                <a:srgbClr val="000000">
                  <a:alpha val="63000"/>
                </a:srgbClr>
              </a:outerShdw>
            </a:effectLst>
          </c:spPr>
          <c:marker>
            <c:symbol val="none"/>
          </c:marker>
          <c:cat>
            <c:strRef>
              <c:f>'Data vuosina'!$B$5:$B$30</c:f>
              <c:strCache>
                <c:ptCount val="21"/>
                <c:pt idx="0">
                  <c:v>Alku</c:v>
                </c:pt>
                <c:pt idx="1">
                  <c:v>1 vuosi</c:v>
                </c:pt>
                <c:pt idx="2">
                  <c:v>2 vuosi</c:v>
                </c:pt>
                <c:pt idx="3">
                  <c:v>3 vuosi</c:v>
                </c:pt>
                <c:pt idx="4">
                  <c:v>4 vuosi</c:v>
                </c:pt>
                <c:pt idx="5">
                  <c:v>5 vuosi</c:v>
                </c:pt>
                <c:pt idx="6">
                  <c:v>6 vuosi</c:v>
                </c:pt>
                <c:pt idx="7">
                  <c:v>7 vuosi</c:v>
                </c:pt>
                <c:pt idx="8">
                  <c:v>8 vuosi</c:v>
                </c:pt>
                <c:pt idx="9">
                  <c:v>9 vuosi</c:v>
                </c:pt>
                <c:pt idx="10">
                  <c:v>10 vuosi</c:v>
                </c:pt>
                <c:pt idx="11">
                  <c:v>11 vuosi</c:v>
                </c:pt>
                <c:pt idx="12">
                  <c:v>12 vuosi</c:v>
                </c:pt>
                <c:pt idx="13">
                  <c:v>13 vuosi</c:v>
                </c:pt>
                <c:pt idx="14">
                  <c:v>14 vuosi</c:v>
                </c:pt>
                <c:pt idx="15">
                  <c:v>15 vuosi</c:v>
                </c:pt>
                <c:pt idx="16">
                  <c:v>16 vuosi</c:v>
                </c:pt>
                <c:pt idx="17">
                  <c:v>17 vuosi</c:v>
                </c:pt>
                <c:pt idx="18">
                  <c:v>18 vuosi</c:v>
                </c:pt>
                <c:pt idx="19">
                  <c:v>19 vuosi</c:v>
                </c:pt>
                <c:pt idx="20">
                  <c:v>20 vuosi</c:v>
                </c:pt>
              </c:strCache>
            </c:strRef>
          </c:cat>
          <c:val>
            <c:numRef>
              <c:f>'Data vuosina'!$F$5:$F$30</c:f>
              <c:numCache>
                <c:formatCode>_-* #\ ##0.00\ [$€-1]_-;\-* #\ ##0.00\ [$€-1]_-;_-* "-"??\ [$€-1]_-;_-@_-</c:formatCode>
                <c:ptCount val="21"/>
                <c:pt idx="0">
                  <c:v>18790.987531987106</c:v>
                </c:pt>
                <c:pt idx="1">
                  <c:v>21593.050568662635</c:v>
                </c:pt>
                <c:pt idx="2">
                  <c:v>24451.671442312429</c:v>
                </c:pt>
                <c:pt idx="3">
                  <c:v>27367.991736434509</c:v>
                </c:pt>
                <c:pt idx="4">
                  <c:v>30343.176076654338</c:v>
                </c:pt>
                <c:pt idx="5">
                  <c:v>33378.412595815185</c:v>
                </c:pt>
                <c:pt idx="6">
                  <c:v>36474.913408456268</c:v>
                </c:pt>
                <c:pt idx="7">
                  <c:v>39633.915094867756</c:v>
                </c:pt>
                <c:pt idx="8">
                  <c:v>42856.679194916229</c:v>
                </c:pt>
                <c:pt idx="9">
                  <c:v>46144.492711837651</c:v>
                </c:pt>
                <c:pt idx="10">
                  <c:v>49388.252481588002</c:v>
                </c:pt>
                <c:pt idx="11">
                  <c:v>51470.694355401429</c:v>
                </c:pt>
                <c:pt idx="12">
                  <c:v>53595.168976681947</c:v>
                </c:pt>
                <c:pt idx="13">
                  <c:v>55762.524749354707</c:v>
                </c:pt>
                <c:pt idx="14">
                  <c:v>57973.627201831448</c:v>
                </c:pt>
                <c:pt idx="15">
                  <c:v>60229.35933265723</c:v>
                </c:pt>
                <c:pt idx="16">
                  <c:v>62530.621963133788</c:v>
                </c:pt>
                <c:pt idx="17">
                  <c:v>64878.334097060433</c:v>
                </c:pt>
                <c:pt idx="18">
                  <c:v>67273.433287736028</c:v>
                </c:pt>
                <c:pt idx="19">
                  <c:v>69716.87601236871</c:v>
                </c:pt>
                <c:pt idx="20">
                  <c:v>72209.638054042734</c:v>
                </c:pt>
              </c:numCache>
            </c:numRef>
          </c:val>
          <c:smooth val="0"/>
          <c:extLst>
            <c:ext xmlns:c16="http://schemas.microsoft.com/office/drawing/2014/chart" uri="{C3380CC4-5D6E-409C-BE32-E72D297353CC}">
              <c16:uniqueId val="{00000002-6468-4E0D-B3AD-02EFB7A880B9}"/>
            </c:ext>
          </c:extLst>
        </c:ser>
        <c:ser>
          <c:idx val="3"/>
          <c:order val="3"/>
          <c:tx>
            <c:v>Kassavirta</c:v>
          </c:tx>
          <c:spPr>
            <a:ln w="34925" cap="rnd">
              <a:solidFill>
                <a:schemeClr val="accent4"/>
              </a:solidFill>
              <a:round/>
            </a:ln>
            <a:effectLst>
              <a:outerShdw blurRad="57150" dist="19050" dir="5400000" algn="ctr" rotWithShape="0">
                <a:srgbClr val="000000">
                  <a:alpha val="63000"/>
                </a:srgbClr>
              </a:outerShdw>
            </a:effectLst>
          </c:spPr>
          <c:marker>
            <c:symbol val="none"/>
          </c:marker>
          <c:cat>
            <c:strRef>
              <c:f>'Data vuosina'!$B$5:$B$30</c:f>
              <c:strCache>
                <c:ptCount val="21"/>
                <c:pt idx="0">
                  <c:v>Alku</c:v>
                </c:pt>
                <c:pt idx="1">
                  <c:v>1 vuosi</c:v>
                </c:pt>
                <c:pt idx="2">
                  <c:v>2 vuosi</c:v>
                </c:pt>
                <c:pt idx="3">
                  <c:v>3 vuosi</c:v>
                </c:pt>
                <c:pt idx="4">
                  <c:v>4 vuosi</c:v>
                </c:pt>
                <c:pt idx="5">
                  <c:v>5 vuosi</c:v>
                </c:pt>
                <c:pt idx="6">
                  <c:v>6 vuosi</c:v>
                </c:pt>
                <c:pt idx="7">
                  <c:v>7 vuosi</c:v>
                </c:pt>
                <c:pt idx="8">
                  <c:v>8 vuosi</c:v>
                </c:pt>
                <c:pt idx="9">
                  <c:v>9 vuosi</c:v>
                </c:pt>
                <c:pt idx="10">
                  <c:v>10 vuosi</c:v>
                </c:pt>
                <c:pt idx="11">
                  <c:v>11 vuosi</c:v>
                </c:pt>
                <c:pt idx="12">
                  <c:v>12 vuosi</c:v>
                </c:pt>
                <c:pt idx="13">
                  <c:v>13 vuosi</c:v>
                </c:pt>
                <c:pt idx="14">
                  <c:v>14 vuosi</c:v>
                </c:pt>
                <c:pt idx="15">
                  <c:v>15 vuosi</c:v>
                </c:pt>
                <c:pt idx="16">
                  <c:v>16 vuosi</c:v>
                </c:pt>
                <c:pt idx="17">
                  <c:v>17 vuosi</c:v>
                </c:pt>
                <c:pt idx="18">
                  <c:v>18 vuosi</c:v>
                </c:pt>
                <c:pt idx="19">
                  <c:v>19 vuosi</c:v>
                </c:pt>
                <c:pt idx="20">
                  <c:v>20 vuosi</c:v>
                </c:pt>
              </c:strCache>
            </c:strRef>
          </c:cat>
          <c:val>
            <c:numRef>
              <c:f>'Data vuosina'!$G$5:$G$30</c:f>
              <c:numCache>
                <c:formatCode>_-* #\ ##0.00\ [$€-1]_-;\-* #\ ##0.00\ [$€-1]_-;_-* "-"??\ [$€-1]_-;_-@_-</c:formatCode>
                <c:ptCount val="21"/>
                <c:pt idx="0">
                  <c:v>31.290644729552469</c:v>
                </c:pt>
                <c:pt idx="1">
                  <c:v>406.77838148418209</c:v>
                </c:pt>
                <c:pt idx="2">
                  <c:v>782.26611823881171</c:v>
                </c:pt>
                <c:pt idx="3">
                  <c:v>1157.7538549934413</c:v>
                </c:pt>
                <c:pt idx="4">
                  <c:v>1533.241591748071</c:v>
                </c:pt>
                <c:pt idx="5">
                  <c:v>1908.7293285027006</c:v>
                </c:pt>
                <c:pt idx="6">
                  <c:v>2284.2170652573313</c:v>
                </c:pt>
                <c:pt idx="7">
                  <c:v>2659.7048020119637</c:v>
                </c:pt>
                <c:pt idx="8">
                  <c:v>3035.192538766596</c:v>
                </c:pt>
                <c:pt idx="9">
                  <c:v>3410.6802755212284</c:v>
                </c:pt>
                <c:pt idx="10">
                  <c:v>3786.1680122758607</c:v>
                </c:pt>
                <c:pt idx="11">
                  <c:v>4161.6557490304931</c:v>
                </c:pt>
                <c:pt idx="12">
                  <c:v>4537.1434857851254</c:v>
                </c:pt>
                <c:pt idx="13">
                  <c:v>4912.6312225397578</c:v>
                </c:pt>
                <c:pt idx="14">
                  <c:v>5288.1189592943902</c:v>
                </c:pt>
                <c:pt idx="15">
                  <c:v>5663.6066960490225</c:v>
                </c:pt>
                <c:pt idx="16">
                  <c:v>6039.0944328036549</c:v>
                </c:pt>
                <c:pt idx="17">
                  <c:v>6414.5821695582872</c:v>
                </c:pt>
                <c:pt idx="18">
                  <c:v>6790.0699063129196</c:v>
                </c:pt>
                <c:pt idx="19">
                  <c:v>7165.5576430675519</c:v>
                </c:pt>
                <c:pt idx="20">
                  <c:v>7541.0453798221843</c:v>
                </c:pt>
              </c:numCache>
            </c:numRef>
          </c:val>
          <c:smooth val="0"/>
          <c:extLst>
            <c:ext xmlns:c16="http://schemas.microsoft.com/office/drawing/2014/chart" uri="{C3380CC4-5D6E-409C-BE32-E72D297353CC}">
              <c16:uniqueId val="{00000003-6468-4E0D-B3AD-02EFB7A880B9}"/>
            </c:ext>
          </c:extLst>
        </c:ser>
        <c:ser>
          <c:idx val="4"/>
          <c:order val="4"/>
          <c:tx>
            <c:v>Varallisuuden kehitys korkoa korolle (Jos asunnon kassavirta + vapautuneet vakuudet sijoitettaisiin vuosittain 10% korolla)</c:v>
          </c:tx>
          <c:spPr>
            <a:ln w="34925"/>
            <a:effectLst>
              <a:outerShdw blurRad="50800" dist="25400" dir="5400000" algn="ctr" rotWithShape="0">
                <a:srgbClr val="000000">
                  <a:alpha val="62000"/>
                </a:srgbClr>
              </a:outerShdw>
            </a:effectLst>
          </c:spPr>
          <c:marker>
            <c:symbol val="none"/>
          </c:marker>
          <c:cat>
            <c:strRef>
              <c:f>'Data vuosina'!$B$5:$B$30</c:f>
              <c:strCache>
                <c:ptCount val="21"/>
                <c:pt idx="0">
                  <c:v>Alku</c:v>
                </c:pt>
                <c:pt idx="1">
                  <c:v>1 vuosi</c:v>
                </c:pt>
                <c:pt idx="2">
                  <c:v>2 vuosi</c:v>
                </c:pt>
                <c:pt idx="3">
                  <c:v>3 vuosi</c:v>
                </c:pt>
                <c:pt idx="4">
                  <c:v>4 vuosi</c:v>
                </c:pt>
                <c:pt idx="5">
                  <c:v>5 vuosi</c:v>
                </c:pt>
                <c:pt idx="6">
                  <c:v>6 vuosi</c:v>
                </c:pt>
                <c:pt idx="7">
                  <c:v>7 vuosi</c:v>
                </c:pt>
                <c:pt idx="8">
                  <c:v>8 vuosi</c:v>
                </c:pt>
                <c:pt idx="9">
                  <c:v>9 vuosi</c:v>
                </c:pt>
                <c:pt idx="10">
                  <c:v>10 vuosi</c:v>
                </c:pt>
                <c:pt idx="11">
                  <c:v>11 vuosi</c:v>
                </c:pt>
                <c:pt idx="12">
                  <c:v>12 vuosi</c:v>
                </c:pt>
                <c:pt idx="13">
                  <c:v>13 vuosi</c:v>
                </c:pt>
                <c:pt idx="14">
                  <c:v>14 vuosi</c:v>
                </c:pt>
                <c:pt idx="15">
                  <c:v>15 vuosi</c:v>
                </c:pt>
                <c:pt idx="16">
                  <c:v>16 vuosi</c:v>
                </c:pt>
                <c:pt idx="17">
                  <c:v>17 vuosi</c:v>
                </c:pt>
                <c:pt idx="18">
                  <c:v>18 vuosi</c:v>
                </c:pt>
                <c:pt idx="19">
                  <c:v>19 vuosi</c:v>
                </c:pt>
                <c:pt idx="20">
                  <c:v>20 vuosi</c:v>
                </c:pt>
              </c:strCache>
            </c:strRef>
          </c:cat>
          <c:val>
            <c:numRef>
              <c:f>'Data vuosina'!$J$5:$J$30</c:f>
              <c:numCache>
                <c:formatCode>_-* #\ ##0.00\ [$€-1]_-;\-* #\ ##0.00\ [$€-1]_-;_-* "-"??\ [$€-1]_-;_-@_-</c:formatCode>
                <c:ptCount val="21"/>
                <c:pt idx="0">
                  <c:v>0</c:v>
                </c:pt>
                <c:pt idx="1">
                  <c:v>7502.8884389265449</c:v>
                </c:pt>
                <c:pt idx="2">
                  <c:v>12046.407431436908</c:v>
                </c:pt>
                <c:pt idx="3">
                  <c:v>17000.711804991464</c:v>
                </c:pt>
                <c:pt idx="4">
                  <c:v>22406.159143063611</c:v>
                </c:pt>
                <c:pt idx="5">
                  <c:v>28307.129819544065</c:v>
                </c:pt>
                <c:pt idx="6">
                  <c:v>34752.42903187406</c:v>
                </c:pt>
                <c:pt idx="7">
                  <c:v>41795.729032686642</c:v>
                </c:pt>
                <c:pt idx="8">
                  <c:v>49496.055579711785</c:v>
                </c:pt>
                <c:pt idx="9">
                  <c:v>57918.323025674064</c:v>
                </c:pt>
                <c:pt idx="10">
                  <c:v>67133.922912083042</c:v>
                </c:pt>
                <c:pt idx="11">
                  <c:v>75884.164175718455</c:v>
                </c:pt>
                <c:pt idx="12">
                  <c:v>85472.011887068627</c:v>
                </c:pt>
                <c:pt idx="13">
                  <c:v>95980.644687085529</c:v>
                </c:pt>
                <c:pt idx="14">
                  <c:v>107501.54906592345</c:v>
                </c:pt>
                <c:pt idx="15">
                  <c:v>120135.34996303967</c:v>
                </c:pt>
                <c:pt idx="16">
                  <c:v>133992.72442374838</c:v>
                </c:pt>
                <c:pt idx="17">
                  <c:v>149195.40661780245</c:v>
                </c:pt>
                <c:pt idx="18">
                  <c:v>165877.29335613453</c:v>
                </c:pt>
                <c:pt idx="19">
                  <c:v>184185.6601555011</c:v>
                </c:pt>
                <c:pt idx="20">
                  <c:v>204282.49890574435</c:v>
                </c:pt>
              </c:numCache>
            </c:numRef>
          </c:val>
          <c:smooth val="0"/>
          <c:extLst>
            <c:ext xmlns:c16="http://schemas.microsoft.com/office/drawing/2014/chart" uri="{C3380CC4-5D6E-409C-BE32-E72D297353CC}">
              <c16:uniqueId val="{00000004-6468-4E0D-B3AD-02EFB7A880B9}"/>
            </c:ext>
          </c:extLst>
        </c:ser>
        <c:dLbls>
          <c:showLegendKey val="0"/>
          <c:showVal val="0"/>
          <c:showCatName val="0"/>
          <c:showSerName val="0"/>
          <c:showPercent val="0"/>
          <c:showBubbleSize val="0"/>
        </c:dLbls>
        <c:smooth val="0"/>
        <c:axId val="90154496"/>
        <c:axId val="90156416"/>
      </c:lineChart>
      <c:catAx>
        <c:axId val="90154496"/>
        <c:scaling>
          <c:orientation val="minMax"/>
        </c:scaling>
        <c:delete val="0"/>
        <c:axPos val="b"/>
        <c:title>
          <c:tx>
            <c:rich>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fi-FI"/>
                  <a:t>Aika</a:t>
                </a:r>
                <a:r>
                  <a:rPr lang="fi-FI" baseline="0"/>
                  <a:t> vuosina</a:t>
                </a:r>
                <a:endParaRPr lang="fi-FI"/>
              </a:p>
            </c:rich>
          </c:tx>
          <c:layout>
            <c:manualLayout>
              <c:xMode val="edge"/>
              <c:yMode val="edge"/>
              <c:x val="0.49504165530888838"/>
              <c:y val="0.7422191870700181"/>
            </c:manualLayout>
          </c:layout>
          <c:overlay val="0"/>
          <c:spPr>
            <a:noFill/>
            <a:ln>
              <a:noFill/>
            </a:ln>
            <a:effectLst/>
          </c:spPr>
        </c:title>
        <c:numFmt formatCode="d:m:yyyy" sourceLinked="0"/>
        <c:majorTickMark val="none"/>
        <c:minorTickMark val="none"/>
        <c:tickLblPos val="nextTo"/>
        <c:spPr>
          <a:noFill/>
          <a:ln w="9525" cap="flat" cmpd="sng" algn="ctr">
            <a:solidFill>
              <a:schemeClr val="lt1">
                <a:lumMod val="95000"/>
                <a:alpha val="10000"/>
              </a:schemeClr>
            </a:solidFill>
            <a:round/>
          </a:ln>
          <a:effectLst/>
        </c:spPr>
        <c:txPr>
          <a:bodyPr rot="5400000" spcFirstLastPara="1" vertOverflow="ellipsis" wrap="square" anchor="t" anchorCtr="0"/>
          <a:lstStyle/>
          <a:p>
            <a:pPr>
              <a:defRPr sz="900" b="0" i="0" u="none" strike="noStrike" kern="1200" baseline="0">
                <a:ln>
                  <a:noFill/>
                </a:ln>
                <a:solidFill>
                  <a:schemeClr val="lt1">
                    <a:lumMod val="85000"/>
                  </a:schemeClr>
                </a:solidFill>
                <a:latin typeface="+mn-lt"/>
                <a:ea typeface="+mn-ea"/>
                <a:cs typeface="+mn-cs"/>
              </a:defRPr>
            </a:pPr>
            <a:endParaRPr lang="fi-FI"/>
          </a:p>
        </c:txPr>
        <c:crossAx val="90156416"/>
        <c:crosses val="autoZero"/>
        <c:auto val="1"/>
        <c:lblAlgn val="ctr"/>
        <c:lblOffset val="100"/>
        <c:noMultiLvlLbl val="0"/>
      </c:catAx>
      <c:valAx>
        <c:axId val="9015641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fi-FI"/>
                  <a:t>eurot</a:t>
                </a:r>
              </a:p>
            </c:rich>
          </c:tx>
          <c:overlay val="0"/>
          <c:spPr>
            <a:noFill/>
            <a:ln>
              <a:noFill/>
            </a:ln>
            <a:effectLst/>
          </c:spPr>
        </c:title>
        <c:numFmt formatCode="#,##0.00\ &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i-FI"/>
          </a:p>
        </c:txPr>
        <c:crossAx val="90154496"/>
        <c:crosses val="autoZero"/>
        <c:crossBetween val="midCat"/>
      </c:valAx>
      <c:spPr>
        <a:noFill/>
        <a:ln>
          <a:noFill/>
        </a:ln>
        <a:effectLst/>
      </c:spPr>
    </c:plotArea>
    <c:legend>
      <c:legendPos val="r"/>
      <c:layout>
        <c:manualLayout>
          <c:xMode val="edge"/>
          <c:yMode val="edge"/>
          <c:x val="0.2217383776895962"/>
          <c:y val="0.77716770040616434"/>
          <c:w val="0.62063019827007115"/>
          <c:h val="0.205651549142949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fi-FI"/>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161925</xdr:rowOff>
    </xdr:from>
    <xdr:to>
      <xdr:col>1</xdr:col>
      <xdr:colOff>1543050</xdr:colOff>
      <xdr:row>2</xdr:row>
      <xdr:rowOff>66675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161925"/>
          <a:ext cx="1552575"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123825</xdr:rowOff>
    </xdr:from>
    <xdr:to>
      <xdr:col>1</xdr:col>
      <xdr:colOff>1724025</xdr:colOff>
      <xdr:row>2</xdr:row>
      <xdr:rowOff>84073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575" y="123825"/>
          <a:ext cx="1685925" cy="560323"/>
        </a:xfrm>
        <a:prstGeom prst="rect">
          <a:avLst/>
        </a:prstGeom>
      </xdr:spPr>
    </xdr:pic>
    <xdr:clientData/>
  </xdr:twoCellAnchor>
  <xdr:twoCellAnchor>
    <xdr:from>
      <xdr:col>4</xdr:col>
      <xdr:colOff>9525</xdr:colOff>
      <xdr:row>21</xdr:row>
      <xdr:rowOff>76200</xdr:rowOff>
    </xdr:from>
    <xdr:to>
      <xdr:col>9</xdr:col>
      <xdr:colOff>47625</xdr:colOff>
      <xdr:row>52</xdr:row>
      <xdr:rowOff>38100</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352425</xdr:colOff>
      <xdr:row>0</xdr:row>
      <xdr:rowOff>152400</xdr:rowOff>
    </xdr:from>
    <xdr:to>
      <xdr:col>3</xdr:col>
      <xdr:colOff>123825</xdr:colOff>
      <xdr:row>2</xdr:row>
      <xdr:rowOff>85725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5" y="152400"/>
          <a:ext cx="2095500" cy="657225"/>
        </a:xfrm>
        <a:prstGeom prst="rect">
          <a:avLst/>
        </a:prstGeom>
      </xdr:spPr>
    </xdr:pic>
    <xdr:clientData/>
  </xdr:twoCellAnchor>
</xdr:wsDr>
</file>

<file path=xl/theme/theme1.xml><?xml version="1.0" encoding="utf-8"?>
<a:theme xmlns:a="http://schemas.openxmlformats.org/drawingml/2006/main" name="Office Theme">
  <a:themeElements>
    <a:clrScheme name="Profit and Loss">
      <a:dk1>
        <a:sysClr val="windowText" lastClr="000000"/>
      </a:dk1>
      <a:lt1>
        <a:sysClr val="window" lastClr="FFFFFF"/>
      </a:lt1>
      <a:dk2>
        <a:srgbClr val="414141"/>
      </a:dk2>
      <a:lt2>
        <a:srgbClr val="F0F0F0"/>
      </a:lt2>
      <a:accent1>
        <a:srgbClr val="74CADA"/>
      </a:accent1>
      <a:accent2>
        <a:srgbClr val="92CC46"/>
      </a:accent2>
      <a:accent3>
        <a:srgbClr val="F1603D"/>
      </a:accent3>
      <a:accent4>
        <a:srgbClr val="8F919E"/>
      </a:accent4>
      <a:accent5>
        <a:srgbClr val="8D77FB"/>
      </a:accent5>
      <a:accent6>
        <a:srgbClr val="5B7799"/>
      </a:accent6>
      <a:hlink>
        <a:srgbClr val="0563C1"/>
      </a:hlink>
      <a:folHlink>
        <a:srgbClr val="954F72"/>
      </a:folHlink>
    </a:clrScheme>
    <a:fontScheme name="Profit and Loss">
      <a:majorFont>
        <a:latin typeface="Cambria"/>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B2:I36"/>
  <sheetViews>
    <sheetView tabSelected="1" zoomScale="135" zoomScaleNormal="135" workbookViewId="0">
      <selection activeCell="C9" sqref="C9"/>
    </sheetView>
  </sheetViews>
  <sheetFormatPr baseColWidth="10" defaultColWidth="9.19921875" defaultRowHeight="16" x14ac:dyDescent="0.2"/>
  <cols>
    <col min="1" max="1" width="5.19921875" style="2" customWidth="1"/>
    <col min="2" max="2" width="39.59765625" style="2" customWidth="1"/>
    <col min="3" max="3" width="16.796875" style="2" customWidth="1"/>
    <col min="4" max="4" width="14.3984375" style="2" customWidth="1"/>
    <col min="5" max="5" width="45.59765625" style="2" customWidth="1"/>
    <col min="6" max="6" width="16.796875" style="2" customWidth="1"/>
    <col min="7" max="16384" width="9.19921875" style="2"/>
  </cols>
  <sheetData>
    <row r="2" spans="2:9" ht="28" x14ac:dyDescent="0.2">
      <c r="B2" s="136" t="s">
        <v>101</v>
      </c>
      <c r="C2" s="136"/>
      <c r="D2" s="136"/>
      <c r="E2" s="136"/>
      <c r="F2" s="136"/>
    </row>
    <row r="3" spans="2:9" ht="13.5" customHeight="1" x14ac:dyDescent="0.2">
      <c r="B3" s="49"/>
      <c r="C3" s="49"/>
      <c r="D3" s="49"/>
      <c r="E3" s="49"/>
      <c r="F3" s="49"/>
    </row>
    <row r="4" spans="2:9" x14ac:dyDescent="0.2">
      <c r="B4" s="135"/>
      <c r="C4" s="135"/>
    </row>
    <row r="5" spans="2:9" ht="22" thickBot="1" x14ac:dyDescent="0.25">
      <c r="B5" s="21" t="s">
        <v>185</v>
      </c>
      <c r="C5" s="22"/>
      <c r="D5" s="3"/>
      <c r="E5" s="42" t="s">
        <v>23</v>
      </c>
      <c r="F5" s="42"/>
      <c r="G5" s="42"/>
      <c r="H5" s="42"/>
      <c r="I5" s="42"/>
    </row>
    <row r="6" spans="2:9" ht="18" thickTop="1" thickBot="1" x14ac:dyDescent="0.25">
      <c r="B6" s="108"/>
      <c r="C6" s="109"/>
      <c r="D6" s="3"/>
      <c r="E6" s="123"/>
      <c r="F6" s="124"/>
    </row>
    <row r="7" spans="2:9" ht="17" thickBot="1" x14ac:dyDescent="0.25">
      <c r="B7" s="110" t="s">
        <v>10</v>
      </c>
      <c r="C7" s="111">
        <v>56000</v>
      </c>
      <c r="D7" s="8"/>
      <c r="E7" s="125" t="s">
        <v>197</v>
      </c>
      <c r="F7" s="126">
        <f>((C9-C10)*12)/(C7+C8+C22+C17)</f>
        <v>7.9803990199509969E-2</v>
      </c>
      <c r="G7" s="5"/>
    </row>
    <row r="8" spans="2:9" ht="17" thickBot="1" x14ac:dyDescent="0.25">
      <c r="B8" s="112" t="s">
        <v>188</v>
      </c>
      <c r="C8" s="113">
        <f>C7*0.015</f>
        <v>840</v>
      </c>
      <c r="D8" s="3"/>
      <c r="E8" s="125" t="s">
        <v>198</v>
      </c>
      <c r="F8" s="127">
        <f>(C9-C10-C29)*12</f>
        <v>4045.75</v>
      </c>
      <c r="G8" s="3"/>
      <c r="H8" s="56"/>
    </row>
    <row r="9" spans="2:9" ht="17" thickBot="1" x14ac:dyDescent="0.25">
      <c r="B9" s="110" t="s">
        <v>1</v>
      </c>
      <c r="C9" s="114">
        <v>525</v>
      </c>
      <c r="D9" s="8"/>
      <c r="E9" s="125" t="s">
        <v>22</v>
      </c>
      <c r="F9" s="126">
        <f>((C9-C10-C29)*12)/C19</f>
        <v>0.252859375</v>
      </c>
      <c r="G9" s="3"/>
    </row>
    <row r="10" spans="2:9" x14ac:dyDescent="0.2">
      <c r="B10" s="110" t="s">
        <v>2</v>
      </c>
      <c r="C10" s="114">
        <v>145</v>
      </c>
      <c r="D10" s="8"/>
      <c r="E10" s="117"/>
      <c r="F10" s="117"/>
      <c r="G10" s="3"/>
    </row>
    <row r="11" spans="2:9" ht="18" customHeight="1" thickBot="1" x14ac:dyDescent="0.25">
      <c r="B11" s="110"/>
      <c r="C11" s="115"/>
      <c r="D11" s="3"/>
      <c r="E11" s="128" t="s">
        <v>199</v>
      </c>
      <c r="F11" s="55"/>
      <c r="G11" s="3"/>
      <c r="H11" s="56"/>
    </row>
    <row r="12" spans="2:9" ht="18" thickTop="1" thickBot="1" x14ac:dyDescent="0.25">
      <c r="B12" s="110" t="s">
        <v>165</v>
      </c>
      <c r="C12" s="114">
        <v>0</v>
      </c>
      <c r="D12" s="58"/>
      <c r="E12" s="108"/>
      <c r="F12" s="108"/>
      <c r="G12" s="3"/>
    </row>
    <row r="13" spans="2:9" ht="17" thickBot="1" x14ac:dyDescent="0.25">
      <c r="B13" s="110" t="s">
        <v>3</v>
      </c>
      <c r="C13" s="114">
        <v>0</v>
      </c>
      <c r="D13" s="8"/>
      <c r="E13" s="125" t="s">
        <v>6</v>
      </c>
      <c r="F13" s="129">
        <f>C9-C10</f>
        <v>380</v>
      </c>
    </row>
    <row r="14" spans="2:9" ht="17" thickBot="1" x14ac:dyDescent="0.25">
      <c r="B14" s="110" t="s">
        <v>80</v>
      </c>
      <c r="C14" s="116" t="s">
        <v>82</v>
      </c>
      <c r="D14" s="58"/>
      <c r="E14" s="125" t="s">
        <v>200</v>
      </c>
      <c r="F14" s="129">
        <f>C30</f>
        <v>250.77051403095174</v>
      </c>
    </row>
    <row r="15" spans="2:9" ht="17" thickBot="1" x14ac:dyDescent="0.25">
      <c r="B15" s="117"/>
      <c r="C15" s="117"/>
      <c r="E15" s="125" t="s">
        <v>201</v>
      </c>
      <c r="F15" s="129">
        <f>C13</f>
        <v>0</v>
      </c>
    </row>
    <row r="16" spans="2:9" ht="17" thickBot="1" x14ac:dyDescent="0.25">
      <c r="B16" s="117" t="s">
        <v>202</v>
      </c>
      <c r="C16" s="114">
        <v>0</v>
      </c>
      <c r="E16" s="125" t="s">
        <v>189</v>
      </c>
      <c r="F16" s="130">
        <f>F13-F15</f>
        <v>380</v>
      </c>
    </row>
    <row r="17" spans="2:6" ht="17" thickBot="1" x14ac:dyDescent="0.25">
      <c r="B17" s="117" t="s">
        <v>203</v>
      </c>
      <c r="C17" s="114">
        <v>0</v>
      </c>
      <c r="E17" s="125" t="s">
        <v>190</v>
      </c>
      <c r="F17" s="129">
        <f>F13-F14-F15</f>
        <v>129.22948596904826</v>
      </c>
    </row>
    <row r="18" spans="2:6" ht="17" thickBot="1" x14ac:dyDescent="0.25">
      <c r="B18" s="117"/>
      <c r="C18" s="117"/>
      <c r="E18" s="125" t="s">
        <v>196</v>
      </c>
      <c r="F18" s="129">
        <f>IF(YksinkYhlainanKäsittely="Tuloutettu",(C9-C10-C13-C29)*C25,((C9-C10-C29)*C25))</f>
        <v>101.14375</v>
      </c>
    </row>
    <row r="19" spans="2:6" ht="17" thickBot="1" x14ac:dyDescent="0.25">
      <c r="B19" s="110" t="s">
        <v>13</v>
      </c>
      <c r="C19" s="114">
        <v>16000</v>
      </c>
      <c r="E19" s="125"/>
      <c r="F19" s="131"/>
    </row>
    <row r="20" spans="2:6" ht="17" thickBot="1" x14ac:dyDescent="0.25">
      <c r="B20" s="110" t="s">
        <v>15</v>
      </c>
      <c r="C20" s="118">
        <v>1.2500000000000001E-2</v>
      </c>
      <c r="E20" s="132" t="s">
        <v>194</v>
      </c>
      <c r="F20" s="130">
        <f>F17-F18</f>
        <v>28.085735969048258</v>
      </c>
    </row>
    <row r="21" spans="2:6" ht="17" thickBot="1" x14ac:dyDescent="0.25">
      <c r="B21" s="110" t="s">
        <v>106</v>
      </c>
      <c r="C21" s="119">
        <v>15</v>
      </c>
      <c r="E21" s="133" t="s">
        <v>195</v>
      </c>
      <c r="F21" s="127">
        <f>F20*12</f>
        <v>337.0288316285791</v>
      </c>
    </row>
    <row r="22" spans="2:6" x14ac:dyDescent="0.2">
      <c r="B22" s="110" t="s">
        <v>77</v>
      </c>
      <c r="C22" s="114">
        <v>300</v>
      </c>
      <c r="E22" s="117"/>
      <c r="F22" s="117"/>
    </row>
    <row r="23" spans="2:6" x14ac:dyDescent="0.2">
      <c r="B23" s="110" t="s">
        <v>182</v>
      </c>
      <c r="C23" s="116" t="s">
        <v>107</v>
      </c>
      <c r="D23" s="56"/>
      <c r="E23" s="117"/>
      <c r="F23" s="117"/>
    </row>
    <row r="24" spans="2:6" x14ac:dyDescent="0.2">
      <c r="B24" s="110"/>
      <c r="C24" s="120"/>
      <c r="E24" s="117"/>
      <c r="F24" s="117"/>
    </row>
    <row r="25" spans="2:6" ht="16.5" customHeight="1" x14ac:dyDescent="0.2">
      <c r="B25" s="110" t="s">
        <v>193</v>
      </c>
      <c r="C25" s="118">
        <v>0.3</v>
      </c>
      <c r="E25" s="117"/>
      <c r="F25" s="117"/>
    </row>
    <row r="26" spans="2:6" x14ac:dyDescent="0.2">
      <c r="B26" s="108"/>
      <c r="C26" s="121"/>
      <c r="E26" s="117"/>
      <c r="F26" s="117"/>
    </row>
    <row r="27" spans="2:6" ht="16.5" customHeight="1" x14ac:dyDescent="0.2">
      <c r="B27" s="112" t="s">
        <v>14</v>
      </c>
      <c r="C27" s="113">
        <f>IF(C7+C8+C17&gt;C12+C19,C7+C8+C22+C17-C12-C19,0)</f>
        <v>41140</v>
      </c>
      <c r="E27" s="117"/>
      <c r="F27" s="117"/>
    </row>
    <row r="28" spans="2:6" x14ac:dyDescent="0.2">
      <c r="B28" s="112" t="s">
        <v>186</v>
      </c>
      <c r="C28" s="113">
        <f>C30-C29</f>
        <v>207.91634736428509</v>
      </c>
      <c r="E28" s="134"/>
      <c r="F28" s="117"/>
    </row>
    <row r="29" spans="2:6" x14ac:dyDescent="0.2">
      <c r="B29" s="112" t="s">
        <v>15</v>
      </c>
      <c r="C29" s="113">
        <f>C27*(C20/12)</f>
        <v>42.854166666666664</v>
      </c>
      <c r="E29" s="117"/>
      <c r="F29" s="117"/>
    </row>
    <row r="30" spans="2:6" x14ac:dyDescent="0.2">
      <c r="B30" s="112" t="s">
        <v>187</v>
      </c>
      <c r="C30" s="113">
        <f>IF(YksinkPlainanLyh="Tasalyhennys",(C27/(C21*12))+((C27)*C20/12),PMT((C20/12),(C21*12),(C27),0,0)*-1)</f>
        <v>250.77051403095174</v>
      </c>
      <c r="E30" s="117"/>
      <c r="F30" s="117"/>
    </row>
    <row r="31" spans="2:6" x14ac:dyDescent="0.2">
      <c r="B31" s="122"/>
      <c r="C31" s="120"/>
      <c r="E31" s="117"/>
      <c r="F31" s="117"/>
    </row>
    <row r="32" spans="2:6" x14ac:dyDescent="0.2">
      <c r="B32" s="122"/>
      <c r="C32" s="120"/>
      <c r="E32" s="117"/>
      <c r="F32" s="117"/>
    </row>
    <row r="33" spans="2:3" x14ac:dyDescent="0.2">
      <c r="B33" s="122"/>
      <c r="C33" s="120"/>
    </row>
    <row r="34" spans="2:3" x14ac:dyDescent="0.2">
      <c r="B34" s="25"/>
    </row>
    <row r="36" spans="2:3" x14ac:dyDescent="0.2">
      <c r="B36" s="25"/>
    </row>
  </sheetData>
  <mergeCells count="2">
    <mergeCell ref="B4:C4"/>
    <mergeCell ref="B2:F2"/>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000-000000000000}">
          <x14:formula1>
            <xm:f>'Data kuukausina'!$AE$2:$AE$4</xm:f>
          </x14:formula1>
          <xm:sqref>C14</xm:sqref>
        </x14:dataValidation>
        <x14:dataValidation type="list" allowBlank="1" showInputMessage="1" showErrorMessage="1" xr:uid="{00000000-0002-0000-0000-000001000000}">
          <x14:formula1>
            <xm:f>'Data kuukausina'!$AF$2:$AF$3</xm:f>
          </x14:formula1>
          <xm:sqref>C23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M56"/>
  <sheetViews>
    <sheetView zoomScale="90" zoomScaleNormal="90" workbookViewId="0">
      <selection activeCell="B46" sqref="B46"/>
    </sheetView>
  </sheetViews>
  <sheetFormatPr baseColWidth="10" defaultColWidth="9.19921875" defaultRowHeight="16" x14ac:dyDescent="0.2"/>
  <cols>
    <col min="1" max="1" width="5.59765625" style="3" customWidth="1"/>
    <col min="2" max="2" width="36.796875" style="3" customWidth="1"/>
    <col min="3" max="3" width="16.796875" style="3" customWidth="1"/>
    <col min="4" max="4" width="10" style="3" customWidth="1"/>
    <col min="5" max="5" width="37.3984375" style="3" customWidth="1"/>
    <col min="6" max="6" width="12.3984375" style="3" customWidth="1"/>
    <col min="7" max="7" width="3.796875" style="3" customWidth="1"/>
    <col min="8" max="8" width="38.796875" style="3" customWidth="1"/>
    <col min="9" max="9" width="15.19921875" style="3" customWidth="1"/>
    <col min="10" max="10" width="10.796875" style="3" customWidth="1"/>
    <col min="11" max="11" width="39" style="3" customWidth="1"/>
    <col min="12" max="12" width="16.19921875" style="3" customWidth="1"/>
    <col min="13" max="16384" width="9.19921875" style="3"/>
  </cols>
  <sheetData>
    <row r="1" spans="2:12" s="2" customFormat="1" x14ac:dyDescent="0.2"/>
    <row r="2" spans="2:12" s="2" customFormat="1" ht="28" x14ac:dyDescent="0.2">
      <c r="B2" s="136" t="s">
        <v>79</v>
      </c>
      <c r="C2" s="136"/>
      <c r="D2" s="136"/>
      <c r="E2" s="136"/>
      <c r="F2" s="136"/>
      <c r="G2" s="136"/>
      <c r="H2" s="136"/>
      <c r="I2" s="136"/>
      <c r="J2" s="136"/>
      <c r="K2" s="136"/>
      <c r="L2" s="136"/>
    </row>
    <row r="3" spans="2:12" s="2" customFormat="1" ht="21.75" customHeight="1" x14ac:dyDescent="0.2">
      <c r="B3" s="3"/>
      <c r="C3" s="3"/>
    </row>
    <row r="4" spans="2:12" ht="22" thickBot="1" x14ac:dyDescent="0.25">
      <c r="B4" s="21" t="s">
        <v>9</v>
      </c>
      <c r="C4" s="22"/>
      <c r="E4" s="139" t="s">
        <v>21</v>
      </c>
      <c r="F4" s="139"/>
      <c r="G4" s="139"/>
      <c r="H4" s="139"/>
      <c r="I4" s="139"/>
      <c r="K4" s="138" t="s">
        <v>84</v>
      </c>
      <c r="L4" s="138"/>
    </row>
    <row r="5" spans="2:12" ht="17" thickTop="1" x14ac:dyDescent="0.2">
      <c r="C5" s="10"/>
    </row>
    <row r="6" spans="2:12" ht="17" thickBot="1" x14ac:dyDescent="0.25">
      <c r="B6" s="107" t="s">
        <v>10</v>
      </c>
      <c r="C6" s="95">
        <v>72000</v>
      </c>
      <c r="D6" s="8" t="s">
        <v>18</v>
      </c>
      <c r="E6" s="137" t="s">
        <v>23</v>
      </c>
      <c r="F6" s="137"/>
      <c r="G6" s="5"/>
      <c r="H6" s="137" t="s">
        <v>205</v>
      </c>
      <c r="I6" s="137"/>
      <c r="K6" s="3" t="s">
        <v>207</v>
      </c>
    </row>
    <row r="7" spans="2:12" ht="17" thickBot="1" x14ac:dyDescent="0.25">
      <c r="B7" s="6"/>
      <c r="C7" s="11"/>
      <c r="E7" s="13" t="s">
        <v>6</v>
      </c>
      <c r="F7" s="18">
        <f>(((12-C10)*C8)-(12*C13))/(C6+(C6*0.02)+C46+C47+C35)</f>
        <v>6.5017848036715967E-2</v>
      </c>
      <c r="H7" s="30" t="s">
        <v>0</v>
      </c>
      <c r="I7" s="35">
        <f>C8</f>
        <v>500</v>
      </c>
      <c r="K7" s="13" t="s">
        <v>85</v>
      </c>
      <c r="L7" s="37">
        <f>(C8-C13)/((C29+C17)/12)</f>
        <v>9.5434131736526956E-2</v>
      </c>
    </row>
    <row r="8" spans="2:12" ht="17" thickBot="1" x14ac:dyDescent="0.25">
      <c r="B8" s="4" t="s">
        <v>1</v>
      </c>
      <c r="C8" s="96">
        <v>500</v>
      </c>
      <c r="D8" s="8" t="s">
        <v>18</v>
      </c>
      <c r="E8" s="13" t="s">
        <v>99</v>
      </c>
      <c r="F8" s="19">
        <f>(C8-C13-C39-C23-(C8*C10/12))*12</f>
        <v>4031.2</v>
      </c>
      <c r="H8" s="30" t="s">
        <v>2</v>
      </c>
      <c r="I8" s="35">
        <f>C13</f>
        <v>75</v>
      </c>
      <c r="K8" s="14" t="s">
        <v>86</v>
      </c>
      <c r="L8" s="31"/>
    </row>
    <row r="9" spans="2:12" ht="17" thickBot="1" x14ac:dyDescent="0.25">
      <c r="B9" s="4" t="s">
        <v>104</v>
      </c>
      <c r="C9" s="97">
        <v>0</v>
      </c>
      <c r="D9" s="8"/>
      <c r="E9" s="13" t="s">
        <v>100</v>
      </c>
      <c r="F9" s="18">
        <f>(((12-C10)*C8)-(12*C13)-(12*C39)-(12*C23))/C28</f>
        <v>0.20155999999999999</v>
      </c>
      <c r="H9" s="30" t="s">
        <v>3</v>
      </c>
      <c r="I9" s="35">
        <f>C22</f>
        <v>110.41614461107285</v>
      </c>
      <c r="K9" s="30" t="s">
        <v>90</v>
      </c>
      <c r="L9" s="38">
        <f>(I7-I8-(C10*I7/12))-((C29/12)*(C33+0.01))-(C24+((C17/12)*(C18+0.01)))</f>
        <v>200.98385538892711</v>
      </c>
    </row>
    <row r="10" spans="2:12" ht="17" thickBot="1" x14ac:dyDescent="0.25">
      <c r="B10" s="4" t="s">
        <v>11</v>
      </c>
      <c r="C10" s="98">
        <v>0</v>
      </c>
      <c r="D10" s="58"/>
      <c r="H10" s="30" t="s">
        <v>15</v>
      </c>
      <c r="I10" s="35">
        <f>C39</f>
        <v>69.066666666666677</v>
      </c>
      <c r="K10" s="30" t="s">
        <v>214</v>
      </c>
      <c r="L10" s="38">
        <f>(I7-I8-(C10*I7/12))-(C29/12)*(C33+0.01)-C38-(C24+((C17/12)*(C18+0.01)))</f>
        <v>60.412468012897264</v>
      </c>
    </row>
    <row r="11" spans="2:12" ht="17" thickBot="1" x14ac:dyDescent="0.25">
      <c r="B11" s="6"/>
      <c r="C11" s="11"/>
      <c r="E11" s="137" t="s">
        <v>24</v>
      </c>
      <c r="F11" s="137"/>
      <c r="H11" s="30"/>
      <c r="I11" s="41"/>
      <c r="K11" s="30" t="s">
        <v>196</v>
      </c>
      <c r="L11" s="38">
        <f>IF(Valitse="Tuloutettu",(I7-I8-(C10*I7/12)-(C24+((C17/12)*(C18+0.01)))-((C29/12)*(C33+0.01)))*C41,((I7-I8-(C10*I7/12)-((C29/12)*(C33+0.01)))*C41))</f>
        <v>60.295156616678142</v>
      </c>
    </row>
    <row r="12" spans="2:12" ht="17" thickBot="1" x14ac:dyDescent="0.25">
      <c r="B12" s="4" t="s">
        <v>204</v>
      </c>
      <c r="C12" s="99">
        <v>20</v>
      </c>
      <c r="D12" s="8" t="s">
        <v>18</v>
      </c>
      <c r="E12" s="13" t="s">
        <v>25</v>
      </c>
      <c r="F12" s="19">
        <f>C6/C12</f>
        <v>3600</v>
      </c>
      <c r="H12" s="33" t="s">
        <v>90</v>
      </c>
      <c r="I12" s="35">
        <f>I7-I8-I9-I10</f>
        <v>245.51718872226047</v>
      </c>
      <c r="K12" s="30" t="s">
        <v>222</v>
      </c>
      <c r="L12" s="38">
        <f>L10-L11</f>
        <v>0.11731139621912234</v>
      </c>
    </row>
    <row r="13" spans="2:12" ht="17" thickBot="1" x14ac:dyDescent="0.25">
      <c r="B13" s="4" t="s">
        <v>2</v>
      </c>
      <c r="C13" s="96">
        <v>75</v>
      </c>
      <c r="D13" s="8" t="s">
        <v>18</v>
      </c>
      <c r="E13" s="13" t="s">
        <v>26</v>
      </c>
      <c r="F13" s="19">
        <f>C8/C12</f>
        <v>25</v>
      </c>
      <c r="H13" s="30" t="s">
        <v>89</v>
      </c>
      <c r="I13" s="35">
        <f>C38</f>
        <v>140.57138737602986</v>
      </c>
      <c r="K13" s="30"/>
      <c r="L13" s="39"/>
    </row>
    <row r="14" spans="2:12" ht="17" thickBot="1" x14ac:dyDescent="0.25">
      <c r="C14" s="1"/>
      <c r="D14" s="27"/>
      <c r="E14" s="13" t="s">
        <v>27</v>
      </c>
      <c r="F14" s="19">
        <f>C13/C12</f>
        <v>3.75</v>
      </c>
      <c r="H14" s="30"/>
      <c r="I14" s="63"/>
      <c r="K14" s="14" t="s">
        <v>87</v>
      </c>
      <c r="L14" s="39"/>
    </row>
    <row r="15" spans="2:12" ht="18" customHeight="1" thickBot="1" x14ac:dyDescent="0.25">
      <c r="B15" s="21" t="s">
        <v>102</v>
      </c>
      <c r="C15" s="23"/>
      <c r="G15" s="62"/>
      <c r="H15" s="64" t="s">
        <v>92</v>
      </c>
      <c r="I15" s="61">
        <f>I7-I8-I9-I10-I13</f>
        <v>104.94580134623061</v>
      </c>
      <c r="J15" s="57"/>
      <c r="K15" s="30" t="s">
        <v>90</v>
      </c>
      <c r="L15" s="38">
        <f>(I7-I8-(C10*I7/12))-((C29/12)*(C33+0.02))-(C24+((C17/12)*(C18+0.02)))</f>
        <v>156.45052205559381</v>
      </c>
    </row>
    <row r="16" spans="2:12" ht="17.25" customHeight="1" thickTop="1" thickBot="1" x14ac:dyDescent="0.25">
      <c r="B16" s="42"/>
      <c r="C16" s="43"/>
      <c r="E16" s="3" t="s">
        <v>28</v>
      </c>
      <c r="H16" s="33" t="s">
        <v>93</v>
      </c>
      <c r="I16" s="35">
        <f>I15*12</f>
        <v>1259.3496161547673</v>
      </c>
      <c r="K16" s="30" t="s">
        <v>214</v>
      </c>
      <c r="L16" s="38">
        <f>(I7-I8-(C10*I7/12))-(C29/12)*(C33+0.02)-C38-(C24+((C17/12)*(C18+0.02)))</f>
        <v>15.879134679563947</v>
      </c>
    </row>
    <row r="17" spans="2:13" ht="16.5" customHeight="1" thickBot="1" x14ac:dyDescent="0.25">
      <c r="B17" s="4" t="s">
        <v>165</v>
      </c>
      <c r="C17" s="96">
        <v>12000</v>
      </c>
      <c r="E17" s="13" t="s">
        <v>29</v>
      </c>
      <c r="F17" s="19">
        <f>C6*C52/12</f>
        <v>60</v>
      </c>
      <c r="H17" s="34" t="s">
        <v>206</v>
      </c>
      <c r="I17" s="35">
        <f>IF(Valitse="Tuloutettu",(I7-I8-I10-I9)*C41,((I7-I8-I10)*C41))</f>
        <v>73.655156616678141</v>
      </c>
      <c r="K17" s="30" t="s">
        <v>196</v>
      </c>
      <c r="L17" s="38">
        <f>IF(Valitse="Tuloutettu",(I7-I8-(C10*I7/12)-(C24+((C17/12)*(C18+0.02)))-((C29/12)*(C33+0.02)))*C41,((I7-I8-(C10*I7/12)-((C29/12)*(C33+0.02)))*C41))</f>
        <v>46.935156616678135</v>
      </c>
    </row>
    <row r="18" spans="2:13" ht="18" customHeight="1" thickBot="1" x14ac:dyDescent="0.25">
      <c r="B18" s="4" t="s">
        <v>166</v>
      </c>
      <c r="C18" s="100">
        <v>0.02</v>
      </c>
      <c r="E18" s="13" t="s">
        <v>30</v>
      </c>
      <c r="F18" s="19">
        <f>C6*C52</f>
        <v>720</v>
      </c>
      <c r="H18" s="34"/>
      <c r="I18" s="41"/>
      <c r="K18" s="30" t="s">
        <v>222</v>
      </c>
      <c r="L18" s="38">
        <f>L16-L17</f>
        <v>-31.056021937114188</v>
      </c>
    </row>
    <row r="19" spans="2:13" ht="18" customHeight="1" thickBot="1" x14ac:dyDescent="0.25">
      <c r="B19" s="4" t="s">
        <v>167</v>
      </c>
      <c r="C19" s="101">
        <v>10</v>
      </c>
      <c r="E19" s="13" t="s">
        <v>31</v>
      </c>
      <c r="F19" s="18">
        <f>F18/C28</f>
        <v>3.5999999999999997E-2</v>
      </c>
      <c r="H19" s="33" t="s">
        <v>95</v>
      </c>
      <c r="I19" s="35">
        <f>I15-I17</f>
        <v>31.290644729552469</v>
      </c>
      <c r="J19" s="57"/>
      <c r="K19" s="30"/>
      <c r="L19" s="39"/>
    </row>
    <row r="20" spans="2:13" ht="18" customHeight="1" thickBot="1" x14ac:dyDescent="0.25">
      <c r="B20" s="4" t="s">
        <v>168</v>
      </c>
      <c r="C20" s="102" t="s">
        <v>107</v>
      </c>
      <c r="D20" s="8"/>
      <c r="G20" s="28"/>
      <c r="H20" s="33" t="s">
        <v>94</v>
      </c>
      <c r="I20" s="35">
        <f>I19*12</f>
        <v>375.48773675462962</v>
      </c>
      <c r="K20" s="14" t="s">
        <v>88</v>
      </c>
      <c r="L20" s="40"/>
    </row>
    <row r="21" spans="2:13" ht="21" customHeight="1" thickBot="1" x14ac:dyDescent="0.25">
      <c r="B21" s="4" t="s">
        <v>80</v>
      </c>
      <c r="C21" s="103" t="s">
        <v>82</v>
      </c>
      <c r="E21" s="28"/>
      <c r="F21" s="28"/>
      <c r="K21" s="30" t="s">
        <v>90</v>
      </c>
      <c r="L21" s="38">
        <f>(I7-I8-(C10*I7/12))-((C29/12)*(C33+0.04))-(C24+((C17/12)*(C18+0.04)))</f>
        <v>67.383855388927145</v>
      </c>
    </row>
    <row r="22" spans="2:13" ht="18.75" customHeight="1" thickBot="1" x14ac:dyDescent="0.25">
      <c r="B22" s="50" t="s">
        <v>169</v>
      </c>
      <c r="C22" s="85">
        <f>IF(YhlainaLyhennys="Tasalyhennys",(C17/(C19*12))+(C17*C18/12),PMT((C18/12),(C19*12),C17,0,0)*-1)</f>
        <v>110.41614461107285</v>
      </c>
      <c r="K22" s="30" t="s">
        <v>214</v>
      </c>
      <c r="L22" s="38">
        <f>(I7-I8-(C10*I7/12))-(C29/12)*(C33+0.04)-C38-(C24+((C17/12)*(C18+0.04)))</f>
        <v>-73.187531987102716</v>
      </c>
    </row>
    <row r="23" spans="2:13" ht="18.75" customHeight="1" thickBot="1" x14ac:dyDescent="0.25">
      <c r="B23" s="50" t="s">
        <v>166</v>
      </c>
      <c r="C23" s="85">
        <f>C17*(C18/12)</f>
        <v>20</v>
      </c>
      <c r="D23" s="8"/>
      <c r="K23" s="30" t="s">
        <v>196</v>
      </c>
      <c r="L23" s="38">
        <f>IF(Valitse="Tuloutettu",(I7-I8-(C10*I7/12)-(C24+((C17/12)*(C18+0.04)))-((C29/12)*(C33+0.04)))*C41,((I7-I8-(C10*I7/12)-((C29/12)*(C33+0.04)))*C41))</f>
        <v>20.215156616678144</v>
      </c>
    </row>
    <row r="24" spans="2:13" ht="17" thickBot="1" x14ac:dyDescent="0.25">
      <c r="B24" s="50" t="s">
        <v>170</v>
      </c>
      <c r="C24" s="85">
        <f>C22-C23</f>
        <v>90.416144611072852</v>
      </c>
      <c r="K24" s="30" t="s">
        <v>222</v>
      </c>
      <c r="L24" s="38">
        <f>L22-L23</f>
        <v>-93.402688603780859</v>
      </c>
    </row>
    <row r="25" spans="2:13" x14ac:dyDescent="0.2">
      <c r="B25" s="50"/>
      <c r="C25" s="51"/>
      <c r="K25" s="30"/>
      <c r="L25" s="36"/>
    </row>
    <row r="26" spans="2:13" ht="22" thickBot="1" x14ac:dyDescent="0.25">
      <c r="B26" s="21" t="s">
        <v>103</v>
      </c>
      <c r="C26" s="23"/>
      <c r="K26" s="3" t="s">
        <v>208</v>
      </c>
    </row>
    <row r="27" spans="2:13" ht="18.75" customHeight="1" thickTop="1" thickBot="1" x14ac:dyDescent="0.25">
      <c r="B27" s="42"/>
      <c r="C27" s="43"/>
      <c r="K27" s="30" t="s">
        <v>209</v>
      </c>
      <c r="L27" s="37">
        <f>((12*(C8-C13)))/(C6+(C6*0.02)+C46+C47)</f>
        <v>6.5017848036715967E-2</v>
      </c>
      <c r="M27" s="58"/>
    </row>
    <row r="28" spans="2:13" ht="17" thickBot="1" x14ac:dyDescent="0.25">
      <c r="B28" s="4" t="s">
        <v>13</v>
      </c>
      <c r="C28" s="96">
        <v>20000</v>
      </c>
      <c r="D28" s="8" t="s">
        <v>18</v>
      </c>
      <c r="K28" s="30" t="s">
        <v>96</v>
      </c>
      <c r="L28" s="37">
        <f>((12*(C8-C13))-C8)/(C6+(C6*0.02)+C46+C47)</f>
        <v>5.8643549209586948E-2</v>
      </c>
    </row>
    <row r="29" spans="2:13" ht="17" thickBot="1" x14ac:dyDescent="0.25">
      <c r="B29" s="12" t="s">
        <v>14</v>
      </c>
      <c r="C29" s="17">
        <f>IF(C6+(C6*0.02)+C46&gt;C28+C17,C6-C17-C28+(C6*0.02)+C35,0)</f>
        <v>41440</v>
      </c>
      <c r="K29" s="30" t="s">
        <v>97</v>
      </c>
      <c r="L29" s="37">
        <f>((12*(C8-C13))-C8-C8)/(C6+(C6*0.02)+C46+C47)</f>
        <v>5.226925038245793E-2</v>
      </c>
    </row>
    <row r="30" spans="2:13" ht="17" thickBot="1" x14ac:dyDescent="0.25">
      <c r="B30" s="12" t="s">
        <v>16</v>
      </c>
      <c r="C30" s="44">
        <f>C17</f>
        <v>12000</v>
      </c>
      <c r="K30" s="30" t="s">
        <v>98</v>
      </c>
      <c r="L30" s="37">
        <f>((12*(C8-C13))-C8-C8-C8)/(C6+(C6*0.02)+C46+C47)</f>
        <v>4.5894951555328911E-2</v>
      </c>
    </row>
    <row r="31" spans="2:13" x14ac:dyDescent="0.2">
      <c r="B31" s="12"/>
      <c r="C31" s="45"/>
    </row>
    <row r="32" spans="2:13" x14ac:dyDescent="0.2">
      <c r="B32" s="4" t="s">
        <v>182</v>
      </c>
      <c r="C32" s="104" t="s">
        <v>107</v>
      </c>
      <c r="D32" s="58"/>
      <c r="L32" s="32"/>
    </row>
    <row r="33" spans="2:12" x14ac:dyDescent="0.2">
      <c r="B33" s="4" t="s">
        <v>15</v>
      </c>
      <c r="C33" s="105">
        <v>0.02</v>
      </c>
      <c r="D33" s="58"/>
      <c r="L33" s="32"/>
    </row>
    <row r="34" spans="2:12" x14ac:dyDescent="0.2">
      <c r="B34" s="4" t="s">
        <v>106</v>
      </c>
      <c r="C34" s="106">
        <v>20</v>
      </c>
    </row>
    <row r="35" spans="2:12" x14ac:dyDescent="0.2">
      <c r="B35" s="4" t="s">
        <v>77</v>
      </c>
      <c r="C35" s="96">
        <v>0</v>
      </c>
    </row>
    <row r="36" spans="2:12" x14ac:dyDescent="0.2">
      <c r="B36" s="4"/>
      <c r="C36" s="16"/>
    </row>
    <row r="37" spans="2:12" x14ac:dyDescent="0.2">
      <c r="B37" s="12" t="s">
        <v>71</v>
      </c>
      <c r="C37" s="17">
        <f>IF(Lyhennystapa="Bullet",(C29)*(C33/12),IF(Lyhennystapa="Tasalyhennys",((C29)/(C34*12))+((C29)*C33/12),PMT((C33/12),(C34*12),(C29),0,0)*-1))</f>
        <v>209.63805404269655</v>
      </c>
    </row>
    <row r="38" spans="2:12" x14ac:dyDescent="0.2">
      <c r="B38" s="12" t="s">
        <v>160</v>
      </c>
      <c r="C38" s="17">
        <f>C37-C39</f>
        <v>140.57138737602986</v>
      </c>
    </row>
    <row r="39" spans="2:12" x14ac:dyDescent="0.2">
      <c r="B39" s="12" t="s">
        <v>7</v>
      </c>
      <c r="C39" s="44">
        <f>(C29+C35)*C33/12</f>
        <v>69.066666666666677</v>
      </c>
    </row>
    <row r="40" spans="2:12" x14ac:dyDescent="0.2">
      <c r="B40" s="6"/>
      <c r="C40" s="11"/>
    </row>
    <row r="41" spans="2:12" x14ac:dyDescent="0.2">
      <c r="B41" s="4" t="s">
        <v>105</v>
      </c>
      <c r="C41" s="97">
        <v>0.3</v>
      </c>
    </row>
    <row r="42" spans="2:12" x14ac:dyDescent="0.2">
      <c r="B42" s="4" t="s">
        <v>218</v>
      </c>
      <c r="C42" s="97">
        <v>0.7</v>
      </c>
    </row>
    <row r="43" spans="2:12" x14ac:dyDescent="0.2">
      <c r="C43" s="10"/>
      <c r="K43" s="57"/>
    </row>
    <row r="44" spans="2:12" ht="22" thickBot="1" x14ac:dyDescent="0.25">
      <c r="B44" s="21" t="s">
        <v>17</v>
      </c>
      <c r="C44" s="22"/>
      <c r="K44" s="57"/>
    </row>
    <row r="45" spans="2:12" ht="17" thickTop="1" x14ac:dyDescent="0.2">
      <c r="C45" s="10"/>
      <c r="K45" s="57"/>
    </row>
    <row r="46" spans="2:12" x14ac:dyDescent="0.2">
      <c r="B46" s="4" t="s">
        <v>203</v>
      </c>
      <c r="C46" s="96">
        <v>5000</v>
      </c>
      <c r="K46" s="57"/>
    </row>
    <row r="47" spans="2:12" x14ac:dyDescent="0.2">
      <c r="B47" s="4" t="s">
        <v>202</v>
      </c>
      <c r="C47" s="96">
        <v>0</v>
      </c>
    </row>
    <row r="48" spans="2:12" x14ac:dyDescent="0.2">
      <c r="C48" s="10"/>
    </row>
    <row r="49" spans="2:4" x14ac:dyDescent="0.2">
      <c r="C49" s="10"/>
    </row>
    <row r="50" spans="2:4" ht="22" thickBot="1" x14ac:dyDescent="0.25">
      <c r="B50" s="21" t="s">
        <v>19</v>
      </c>
      <c r="C50" s="22"/>
    </row>
    <row r="51" spans="2:4" ht="17" thickTop="1" x14ac:dyDescent="0.2">
      <c r="C51" s="10"/>
      <c r="D51" s="58"/>
    </row>
    <row r="52" spans="2:4" x14ac:dyDescent="0.2">
      <c r="B52" s="4" t="s">
        <v>20</v>
      </c>
      <c r="C52" s="105">
        <v>0.01</v>
      </c>
    </row>
    <row r="53" spans="2:4" x14ac:dyDescent="0.2">
      <c r="C53" s="10"/>
    </row>
    <row r="54" spans="2:4" x14ac:dyDescent="0.2">
      <c r="C54" s="10"/>
    </row>
    <row r="55" spans="2:4" x14ac:dyDescent="0.2">
      <c r="C55" s="10"/>
    </row>
    <row r="56" spans="2:4" x14ac:dyDescent="0.2">
      <c r="C56" s="9"/>
    </row>
  </sheetData>
  <sheetProtection algorithmName="SHA-512" hashValue="+jQ07f3h1KQKKeKuE5xr83hKijZZDQ27xZdJSQB9fd0yc69w1YdzVgsmiZS9NGIbKAeJ1TX7NYm8Tn75qYxzDA==" saltValue="r1wCrYTkfWlo68XjDgCJ6Q==" spinCount="100000" sheet="1" objects="1" scenarios="1"/>
  <mergeCells count="6">
    <mergeCell ref="E11:F11"/>
    <mergeCell ref="K4:L4"/>
    <mergeCell ref="B2:L2"/>
    <mergeCell ref="E6:F6"/>
    <mergeCell ref="H6:I6"/>
    <mergeCell ref="E4:I4"/>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3">
        <x14:dataValidation type="list" showInputMessage="1" showErrorMessage="1" xr:uid="{00000000-0002-0000-0100-000000000000}">
          <x14:formula1>
            <xm:f>'Data kuukausina'!$AA$2:$AA$4</xm:f>
          </x14:formula1>
          <xm:sqref>C21</xm:sqref>
        </x14:dataValidation>
        <x14:dataValidation type="list" allowBlank="1" showInputMessage="1" showErrorMessage="1" promptTitle="Lyhennystapa" xr:uid="{00000000-0002-0000-0100-000001000000}">
          <x14:formula1>
            <xm:f>'Data kuukausina'!$AB$2:$AB$4</xm:f>
          </x14:formula1>
          <xm:sqref>C32</xm:sqref>
        </x14:dataValidation>
        <x14:dataValidation type="list" allowBlank="1" showInputMessage="1" showErrorMessage="1" xr:uid="{00000000-0002-0000-0100-000002000000}">
          <x14:formula1>
            <xm:f>'Data kuukausina'!$AC$2:$AC$3</xm:f>
          </x14:formula1>
          <xm:sqref>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1:S114"/>
  <sheetViews>
    <sheetView zoomScale="90" zoomScaleNormal="90" workbookViewId="0">
      <selection activeCell="B4" sqref="B4:Q6"/>
    </sheetView>
  </sheetViews>
  <sheetFormatPr baseColWidth="10" defaultColWidth="9.19921875" defaultRowHeight="16" x14ac:dyDescent="0.2"/>
  <cols>
    <col min="1" max="1" width="7.19921875" style="3" customWidth="1"/>
    <col min="2" max="2" width="5.796875" style="3" customWidth="1"/>
    <col min="3" max="5" width="21.796875" style="3" customWidth="1"/>
    <col min="6" max="6" width="9.19921875" style="3"/>
    <col min="7" max="7" width="9" style="3" customWidth="1"/>
    <col min="8" max="9" width="21.796875" style="3" customWidth="1"/>
    <col min="10" max="10" width="20.796875" style="3" customWidth="1"/>
    <col min="11" max="12" width="9.19921875" style="3"/>
    <col min="13" max="13" width="5.796875" style="3" customWidth="1"/>
    <col min="14" max="16" width="21.796875" style="3" customWidth="1"/>
    <col min="17" max="16384" width="9.19921875" style="3"/>
  </cols>
  <sheetData>
    <row r="1" spans="2:19" ht="26.25" customHeight="1" x14ac:dyDescent="0.2">
      <c r="B1" s="6"/>
      <c r="C1" s="6"/>
      <c r="D1" s="6"/>
      <c r="E1" s="6"/>
      <c r="F1" s="6"/>
      <c r="G1" s="6"/>
      <c r="H1" s="6"/>
      <c r="I1" s="6"/>
      <c r="J1" s="6"/>
      <c r="K1" s="6"/>
      <c r="L1" s="6"/>
      <c r="M1" s="6"/>
      <c r="N1" s="6"/>
      <c r="O1" s="6"/>
      <c r="P1" s="6"/>
      <c r="Q1" s="6"/>
      <c r="R1" s="6"/>
      <c r="S1" s="6"/>
    </row>
    <row r="2" spans="2:19" ht="28" x14ac:dyDescent="0.2">
      <c r="B2" s="136" t="s">
        <v>117</v>
      </c>
      <c r="C2" s="136"/>
      <c r="D2" s="136"/>
      <c r="E2" s="136"/>
      <c r="F2" s="136"/>
      <c r="G2" s="136"/>
      <c r="H2" s="136"/>
      <c r="I2" s="136"/>
      <c r="J2" s="136"/>
      <c r="K2" s="136"/>
      <c r="L2" s="136"/>
      <c r="M2" s="136"/>
      <c r="N2" s="136"/>
      <c r="O2" s="136"/>
      <c r="P2" s="136"/>
      <c r="Q2" s="136"/>
      <c r="R2" s="6"/>
      <c r="S2" s="6"/>
    </row>
    <row r="3" spans="2:19" x14ac:dyDescent="0.2">
      <c r="B3" s="6"/>
      <c r="C3" s="6"/>
      <c r="D3" s="6"/>
      <c r="E3" s="6"/>
      <c r="F3" s="6"/>
      <c r="G3" s="6"/>
      <c r="H3" s="6"/>
      <c r="I3" s="6"/>
      <c r="J3" s="6"/>
      <c r="K3" s="6"/>
      <c r="L3" s="6"/>
      <c r="M3" s="6"/>
      <c r="N3" s="148"/>
      <c r="O3" s="148"/>
      <c r="P3" s="66"/>
      <c r="Q3" s="6"/>
      <c r="R3" s="6"/>
      <c r="S3" s="6"/>
    </row>
    <row r="4" spans="2:19" x14ac:dyDescent="0.2">
      <c r="B4" s="140" t="s">
        <v>249</v>
      </c>
      <c r="C4" s="140"/>
      <c r="D4" s="140"/>
      <c r="E4" s="140"/>
      <c r="F4" s="140"/>
      <c r="G4" s="140"/>
      <c r="H4" s="140"/>
      <c r="I4" s="140"/>
      <c r="J4" s="140"/>
      <c r="K4" s="140"/>
      <c r="L4" s="140"/>
      <c r="M4" s="140"/>
      <c r="N4" s="140"/>
      <c r="O4" s="140"/>
      <c r="P4" s="140"/>
      <c r="Q4" s="140"/>
      <c r="R4" s="6"/>
      <c r="S4" s="6"/>
    </row>
    <row r="5" spans="2:19" x14ac:dyDescent="0.2">
      <c r="B5" s="140"/>
      <c r="C5" s="140"/>
      <c r="D5" s="140"/>
      <c r="E5" s="140"/>
      <c r="F5" s="140"/>
      <c r="G5" s="140"/>
      <c r="H5" s="140"/>
      <c r="I5" s="140"/>
      <c r="J5" s="140"/>
      <c r="K5" s="140"/>
      <c r="L5" s="140"/>
      <c r="M5" s="140"/>
      <c r="N5" s="140"/>
      <c r="O5" s="140"/>
      <c r="P5" s="140"/>
      <c r="Q5" s="140"/>
      <c r="R5" s="6"/>
      <c r="S5" s="6"/>
    </row>
    <row r="6" spans="2:19" x14ac:dyDescent="0.2">
      <c r="B6" s="140"/>
      <c r="C6" s="140"/>
      <c r="D6" s="140"/>
      <c r="E6" s="140"/>
      <c r="F6" s="140"/>
      <c r="G6" s="140"/>
      <c r="H6" s="140"/>
      <c r="I6" s="140"/>
      <c r="J6" s="140"/>
      <c r="K6" s="140"/>
      <c r="L6" s="140"/>
      <c r="M6" s="140"/>
      <c r="N6" s="140"/>
      <c r="O6" s="140"/>
      <c r="P6" s="140"/>
      <c r="Q6" s="140"/>
      <c r="R6" s="6"/>
      <c r="S6" s="6"/>
    </row>
    <row r="7" spans="2:19" ht="17.25" customHeight="1" x14ac:dyDescent="0.2">
      <c r="B7" s="6"/>
      <c r="C7" s="6"/>
      <c r="D7" s="6"/>
      <c r="E7" s="6"/>
      <c r="F7" s="6"/>
      <c r="G7" s="6"/>
      <c r="H7" s="6"/>
      <c r="I7" s="6"/>
      <c r="J7" s="6"/>
      <c r="K7" s="6"/>
      <c r="L7" s="6"/>
      <c r="M7" s="6"/>
      <c r="N7" s="6"/>
      <c r="O7" s="6"/>
      <c r="P7" s="6"/>
      <c r="Q7" s="6"/>
      <c r="R7" s="6"/>
      <c r="S7" s="6"/>
    </row>
    <row r="8" spans="2:19" ht="28.5" customHeight="1" x14ac:dyDescent="0.2">
      <c r="B8" s="146" t="s">
        <v>176</v>
      </c>
      <c r="C8" s="146"/>
      <c r="D8" s="146"/>
      <c r="E8" s="146"/>
      <c r="F8" s="6"/>
      <c r="G8" s="149" t="s">
        <v>136</v>
      </c>
      <c r="H8" s="149"/>
      <c r="I8" s="149"/>
      <c r="J8" s="149"/>
      <c r="K8" s="149"/>
      <c r="L8" s="6"/>
      <c r="M8" s="147" t="s">
        <v>145</v>
      </c>
      <c r="N8" s="147"/>
      <c r="O8" s="147"/>
      <c r="P8" s="147"/>
      <c r="Q8" s="147"/>
      <c r="R8" s="6"/>
      <c r="S8" s="6"/>
    </row>
    <row r="9" spans="2:19" x14ac:dyDescent="0.2">
      <c r="B9" s="67"/>
      <c r="C9" s="67"/>
      <c r="D9" s="67"/>
      <c r="E9" s="67"/>
      <c r="F9" s="6"/>
      <c r="G9" s="68"/>
      <c r="H9" s="68"/>
      <c r="I9" s="68"/>
      <c r="J9" s="68"/>
      <c r="K9" s="68"/>
      <c r="L9" s="6"/>
      <c r="M9" s="6"/>
      <c r="N9" s="6"/>
      <c r="O9" s="6"/>
      <c r="P9" s="6"/>
      <c r="Q9" s="6"/>
      <c r="R9" s="6"/>
      <c r="S9" s="6"/>
    </row>
    <row r="10" spans="2:19" x14ac:dyDescent="0.2">
      <c r="B10" s="69" t="s">
        <v>118</v>
      </c>
      <c r="C10" s="6"/>
      <c r="D10" s="6"/>
      <c r="E10" s="6"/>
      <c r="F10" s="6"/>
      <c r="G10" s="70" t="s">
        <v>23</v>
      </c>
      <c r="H10" s="6"/>
      <c r="I10" s="6"/>
      <c r="J10" s="6"/>
      <c r="K10" s="6"/>
      <c r="L10" s="6"/>
      <c r="M10" s="71" t="s">
        <v>85</v>
      </c>
      <c r="N10" s="72"/>
      <c r="O10" s="6"/>
      <c r="P10" s="6"/>
      <c r="Q10" s="6"/>
      <c r="R10" s="6"/>
      <c r="S10" s="6"/>
    </row>
    <row r="11" spans="2:19" ht="16.5" customHeight="1" x14ac:dyDescent="0.2">
      <c r="B11" s="73" t="s">
        <v>10</v>
      </c>
      <c r="C11" s="14"/>
      <c r="D11" s="14"/>
      <c r="E11" s="14"/>
      <c r="F11" s="6"/>
      <c r="G11" s="74" t="s">
        <v>6</v>
      </c>
      <c r="H11" s="6"/>
      <c r="I11" s="6"/>
      <c r="J11" s="6"/>
      <c r="K11" s="6"/>
      <c r="L11" s="6"/>
      <c r="M11" s="71"/>
      <c r="N11" s="145" t="s">
        <v>153</v>
      </c>
      <c r="O11" s="145"/>
      <c r="P11" s="145"/>
      <c r="Q11" s="145"/>
      <c r="R11" s="6"/>
      <c r="S11" s="6"/>
    </row>
    <row r="12" spans="2:19" ht="18.75" customHeight="1" x14ac:dyDescent="0.2">
      <c r="B12" s="14"/>
      <c r="C12" s="141" t="s">
        <v>119</v>
      </c>
      <c r="D12" s="141"/>
      <c r="E12" s="141"/>
      <c r="F12" s="6"/>
      <c r="G12" s="74"/>
      <c r="H12" s="142" t="s">
        <v>135</v>
      </c>
      <c r="I12" s="142"/>
      <c r="J12" s="142"/>
      <c r="K12" s="142"/>
      <c r="L12" s="6"/>
      <c r="M12" s="71"/>
      <c r="N12" s="145"/>
      <c r="O12" s="145"/>
      <c r="P12" s="145"/>
      <c r="Q12" s="145"/>
      <c r="R12" s="6"/>
      <c r="S12" s="6"/>
    </row>
    <row r="13" spans="2:19" ht="18.75" customHeight="1" x14ac:dyDescent="0.2">
      <c r="B13" s="14"/>
      <c r="C13" s="141"/>
      <c r="D13" s="141"/>
      <c r="E13" s="141"/>
      <c r="F13" s="6"/>
      <c r="G13" s="74"/>
      <c r="H13" s="142"/>
      <c r="I13" s="142"/>
      <c r="J13" s="142"/>
      <c r="K13" s="142"/>
      <c r="L13" s="6"/>
      <c r="M13" s="71"/>
      <c r="N13" s="145"/>
      <c r="O13" s="145"/>
      <c r="P13" s="145"/>
      <c r="Q13" s="145"/>
      <c r="R13" s="6"/>
      <c r="S13" s="6"/>
    </row>
    <row r="14" spans="2:19" ht="18.75" customHeight="1" x14ac:dyDescent="0.2">
      <c r="B14" s="73" t="s">
        <v>1</v>
      </c>
      <c r="C14" s="14"/>
      <c r="D14" s="14"/>
      <c r="E14" s="14"/>
      <c r="F14" s="6"/>
      <c r="G14" s="74"/>
      <c r="H14" s="142"/>
      <c r="I14" s="142"/>
      <c r="J14" s="142"/>
      <c r="K14" s="142"/>
      <c r="L14" s="6"/>
      <c r="M14" s="71"/>
      <c r="N14" s="145"/>
      <c r="O14" s="145"/>
      <c r="P14" s="145"/>
      <c r="Q14" s="145"/>
      <c r="R14" s="6"/>
      <c r="S14" s="6"/>
    </row>
    <row r="15" spans="2:19" x14ac:dyDescent="0.2">
      <c r="B15" s="14"/>
      <c r="C15" s="141" t="s">
        <v>120</v>
      </c>
      <c r="D15" s="141"/>
      <c r="E15" s="141"/>
      <c r="F15" s="6"/>
      <c r="G15" s="74" t="s">
        <v>99</v>
      </c>
      <c r="H15" s="6"/>
      <c r="I15" s="6"/>
      <c r="J15" s="6"/>
      <c r="K15" s="6"/>
      <c r="L15" s="6"/>
      <c r="M15" s="71" t="s">
        <v>154</v>
      </c>
      <c r="N15" s="72"/>
      <c r="O15" s="6"/>
      <c r="P15" s="6"/>
      <c r="Q15" s="6"/>
      <c r="R15" s="6"/>
      <c r="S15" s="6"/>
    </row>
    <row r="16" spans="2:19" ht="21.75" customHeight="1" x14ac:dyDescent="0.2">
      <c r="B16" s="14"/>
      <c r="C16" s="141"/>
      <c r="D16" s="141"/>
      <c r="E16" s="141"/>
      <c r="F16" s="6"/>
      <c r="G16" s="74"/>
      <c r="H16" s="142" t="s">
        <v>137</v>
      </c>
      <c r="I16" s="142"/>
      <c r="J16" s="142"/>
      <c r="K16" s="142"/>
      <c r="L16" s="6"/>
      <c r="M16" s="71"/>
      <c r="N16" s="145" t="s">
        <v>242</v>
      </c>
      <c r="O16" s="145"/>
      <c r="P16" s="145"/>
      <c r="Q16" s="145"/>
      <c r="R16" s="6"/>
      <c r="S16" s="6"/>
    </row>
    <row r="17" spans="2:19" x14ac:dyDescent="0.2">
      <c r="B17" s="73" t="s">
        <v>104</v>
      </c>
      <c r="C17" s="14"/>
      <c r="D17" s="14"/>
      <c r="E17" s="14"/>
      <c r="F17" s="6"/>
      <c r="G17" s="74"/>
      <c r="H17" s="142"/>
      <c r="I17" s="142"/>
      <c r="J17" s="142"/>
      <c r="K17" s="142"/>
      <c r="L17" s="6"/>
      <c r="M17" s="71"/>
      <c r="N17" s="145"/>
      <c r="O17" s="145"/>
      <c r="P17" s="145"/>
      <c r="Q17" s="145"/>
      <c r="R17" s="6"/>
      <c r="S17" s="6"/>
    </row>
    <row r="18" spans="2:19" ht="16.5" customHeight="1" x14ac:dyDescent="0.2">
      <c r="B18" s="14"/>
      <c r="C18" s="141" t="s">
        <v>121</v>
      </c>
      <c r="D18" s="141"/>
      <c r="E18" s="141"/>
      <c r="F18" s="6"/>
      <c r="G18" s="74"/>
      <c r="H18" s="142"/>
      <c r="I18" s="142"/>
      <c r="J18" s="142"/>
      <c r="K18" s="142"/>
      <c r="L18" s="6"/>
      <c r="M18" s="71"/>
      <c r="N18" s="145"/>
      <c r="O18" s="145"/>
      <c r="P18" s="145"/>
      <c r="Q18" s="145"/>
      <c r="R18" s="6"/>
      <c r="S18" s="6"/>
    </row>
    <row r="19" spans="2:19" x14ac:dyDescent="0.2">
      <c r="B19" s="14"/>
      <c r="C19" s="141"/>
      <c r="D19" s="141"/>
      <c r="E19" s="141"/>
      <c r="F19" s="6"/>
      <c r="G19" s="74" t="s">
        <v>100</v>
      </c>
      <c r="H19" s="6"/>
      <c r="I19" s="6"/>
      <c r="J19" s="6"/>
      <c r="K19" s="6"/>
      <c r="L19" s="6"/>
      <c r="M19" s="71"/>
      <c r="N19" s="145"/>
      <c r="O19" s="145"/>
      <c r="P19" s="145"/>
      <c r="Q19" s="145"/>
      <c r="R19" s="6"/>
      <c r="S19" s="6"/>
    </row>
    <row r="20" spans="2:19" x14ac:dyDescent="0.2">
      <c r="B20" s="14"/>
      <c r="C20" s="141"/>
      <c r="D20" s="141"/>
      <c r="E20" s="141"/>
      <c r="F20" s="6"/>
      <c r="G20" s="74"/>
      <c r="H20" s="142" t="s">
        <v>138</v>
      </c>
      <c r="I20" s="142"/>
      <c r="J20" s="142"/>
      <c r="K20" s="142"/>
      <c r="L20" s="6"/>
      <c r="M20" s="75" t="s">
        <v>155</v>
      </c>
      <c r="N20" s="76"/>
      <c r="O20" s="6"/>
      <c r="P20" s="6"/>
      <c r="Q20" s="6"/>
      <c r="R20" s="6"/>
      <c r="S20" s="6"/>
    </row>
    <row r="21" spans="2:19" ht="16.5" customHeight="1" x14ac:dyDescent="0.2">
      <c r="B21" s="73" t="s">
        <v>11</v>
      </c>
      <c r="C21" s="14"/>
      <c r="D21" s="14"/>
      <c r="E21" s="14"/>
      <c r="F21" s="6"/>
      <c r="G21" s="74"/>
      <c r="H21" s="142"/>
      <c r="I21" s="142"/>
      <c r="J21" s="142"/>
      <c r="K21" s="142"/>
      <c r="L21" s="6"/>
      <c r="M21" s="6"/>
      <c r="N21" s="145" t="s">
        <v>156</v>
      </c>
      <c r="O21" s="145"/>
      <c r="P21" s="145"/>
      <c r="Q21" s="145"/>
      <c r="R21" s="6"/>
      <c r="S21" s="6"/>
    </row>
    <row r="22" spans="2:19" x14ac:dyDescent="0.2">
      <c r="B22" s="14"/>
      <c r="C22" s="141" t="s">
        <v>122</v>
      </c>
      <c r="D22" s="141"/>
      <c r="E22" s="141"/>
      <c r="F22" s="6"/>
      <c r="G22" s="74"/>
      <c r="H22" s="142"/>
      <c r="I22" s="142"/>
      <c r="J22" s="142"/>
      <c r="K22" s="142"/>
      <c r="L22" s="6"/>
      <c r="M22" s="77"/>
      <c r="N22" s="145"/>
      <c r="O22" s="145"/>
      <c r="P22" s="145"/>
      <c r="Q22" s="145"/>
      <c r="R22" s="6"/>
      <c r="S22" s="6"/>
    </row>
    <row r="23" spans="2:19" x14ac:dyDescent="0.2">
      <c r="B23" s="14"/>
      <c r="C23" s="141"/>
      <c r="D23" s="141"/>
      <c r="E23" s="141"/>
      <c r="F23" s="6"/>
      <c r="G23" s="74" t="s">
        <v>25</v>
      </c>
      <c r="H23" s="6"/>
      <c r="I23" s="6"/>
      <c r="J23" s="6"/>
      <c r="K23" s="6"/>
      <c r="L23" s="6"/>
      <c r="M23" s="77"/>
      <c r="N23" s="145"/>
      <c r="O23" s="145"/>
      <c r="P23" s="145"/>
      <c r="Q23" s="145"/>
      <c r="R23" s="6"/>
      <c r="S23" s="6"/>
    </row>
    <row r="24" spans="2:19" x14ac:dyDescent="0.2">
      <c r="B24" s="14"/>
      <c r="C24" s="141"/>
      <c r="D24" s="141"/>
      <c r="E24" s="141"/>
      <c r="F24" s="6"/>
      <c r="G24" s="74"/>
      <c r="H24" s="142" t="s">
        <v>139</v>
      </c>
      <c r="I24" s="142"/>
      <c r="J24" s="142"/>
      <c r="K24" s="142"/>
      <c r="L24" s="6"/>
      <c r="M24" s="77"/>
      <c r="N24" s="6"/>
      <c r="O24" s="6"/>
      <c r="P24" s="6"/>
      <c r="Q24" s="6"/>
      <c r="R24" s="6"/>
      <c r="S24" s="6"/>
    </row>
    <row r="25" spans="2:19" ht="16.5" customHeight="1" x14ac:dyDescent="0.2">
      <c r="B25" s="73" t="s">
        <v>12</v>
      </c>
      <c r="C25" s="14"/>
      <c r="D25" s="14"/>
      <c r="E25" s="14"/>
      <c r="F25" s="6"/>
      <c r="G25" s="74" t="s">
        <v>26</v>
      </c>
      <c r="H25" s="6"/>
      <c r="I25" s="6"/>
      <c r="J25" s="6"/>
      <c r="K25" s="6"/>
      <c r="L25" s="6"/>
      <c r="M25" s="6"/>
      <c r="N25" s="6"/>
      <c r="O25" s="6"/>
      <c r="P25" s="6"/>
      <c r="Q25" s="6"/>
      <c r="R25" s="6"/>
      <c r="S25" s="6"/>
    </row>
    <row r="26" spans="2:19" x14ac:dyDescent="0.2">
      <c r="B26" s="14"/>
      <c r="C26" s="141" t="s">
        <v>123</v>
      </c>
      <c r="D26" s="141"/>
      <c r="E26" s="141"/>
      <c r="F26" s="6"/>
      <c r="G26" s="74"/>
      <c r="H26" s="142" t="s">
        <v>140</v>
      </c>
      <c r="I26" s="142"/>
      <c r="J26" s="142"/>
      <c r="K26" s="142"/>
      <c r="L26" s="6"/>
      <c r="M26" s="6"/>
      <c r="N26" s="6"/>
      <c r="O26" s="6"/>
      <c r="P26" s="6"/>
      <c r="Q26" s="6"/>
      <c r="R26" s="6"/>
      <c r="S26" s="6"/>
    </row>
    <row r="27" spans="2:19" ht="16.5" customHeight="1" x14ac:dyDescent="0.2">
      <c r="B27" s="14"/>
      <c r="C27" s="141"/>
      <c r="D27" s="141"/>
      <c r="E27" s="141"/>
      <c r="F27" s="6"/>
      <c r="G27" s="74"/>
      <c r="H27" s="142"/>
      <c r="I27" s="142"/>
      <c r="J27" s="142"/>
      <c r="K27" s="142"/>
      <c r="L27" s="6"/>
      <c r="M27" s="6"/>
      <c r="N27" s="6"/>
      <c r="O27" s="6"/>
      <c r="P27" s="6"/>
      <c r="Q27" s="6"/>
      <c r="R27" s="6"/>
      <c r="S27" s="6"/>
    </row>
    <row r="28" spans="2:19" ht="16.5" customHeight="1" x14ac:dyDescent="0.2">
      <c r="B28" s="73" t="s">
        <v>2</v>
      </c>
      <c r="C28" s="14"/>
      <c r="D28" s="14"/>
      <c r="E28" s="14"/>
      <c r="F28" s="6"/>
      <c r="G28" s="74" t="s">
        <v>27</v>
      </c>
      <c r="H28" s="6"/>
      <c r="I28" s="6"/>
      <c r="J28" s="6"/>
      <c r="K28" s="6"/>
      <c r="L28" s="6"/>
      <c r="M28" s="6"/>
      <c r="N28" s="6"/>
      <c r="O28" s="6"/>
      <c r="P28" s="6"/>
      <c r="Q28" s="6"/>
      <c r="R28" s="6"/>
      <c r="S28" s="6"/>
    </row>
    <row r="29" spans="2:19" x14ac:dyDescent="0.2">
      <c r="B29" s="14"/>
      <c r="C29" s="141" t="s">
        <v>124</v>
      </c>
      <c r="D29" s="141"/>
      <c r="E29" s="141"/>
      <c r="F29" s="6"/>
      <c r="G29" s="74"/>
      <c r="H29" s="142" t="s">
        <v>141</v>
      </c>
      <c r="I29" s="142"/>
      <c r="J29" s="142"/>
      <c r="K29" s="142"/>
      <c r="L29" s="6"/>
      <c r="M29" s="6"/>
      <c r="N29" s="6"/>
      <c r="O29" s="6"/>
      <c r="P29" s="6"/>
      <c r="Q29" s="6"/>
      <c r="R29" s="6"/>
      <c r="S29" s="6"/>
    </row>
    <row r="30" spans="2:19" ht="16.5" customHeight="1" x14ac:dyDescent="0.2">
      <c r="B30" s="14"/>
      <c r="C30" s="141"/>
      <c r="D30" s="141"/>
      <c r="E30" s="141"/>
      <c r="F30" s="6"/>
      <c r="G30" s="74"/>
      <c r="H30" s="142"/>
      <c r="I30" s="142"/>
      <c r="J30" s="142"/>
      <c r="K30" s="142"/>
      <c r="L30" s="6"/>
      <c r="M30" s="6"/>
      <c r="N30" s="6"/>
      <c r="O30" s="6"/>
      <c r="P30" s="6"/>
      <c r="Q30" s="6"/>
      <c r="R30" s="6"/>
      <c r="S30" s="6"/>
    </row>
    <row r="31" spans="2:19" x14ac:dyDescent="0.2">
      <c r="B31" s="78"/>
      <c r="C31" s="141"/>
      <c r="D31" s="141"/>
      <c r="E31" s="141"/>
      <c r="F31" s="6"/>
      <c r="G31" s="74"/>
      <c r="H31" s="142"/>
      <c r="I31" s="142"/>
      <c r="J31" s="142"/>
      <c r="K31" s="142"/>
      <c r="L31" s="6"/>
      <c r="M31" s="6"/>
      <c r="N31" s="6"/>
      <c r="O31" s="6"/>
      <c r="P31" s="6"/>
      <c r="Q31" s="6"/>
      <c r="R31" s="6"/>
      <c r="S31" s="6"/>
    </row>
    <row r="32" spans="2:19" x14ac:dyDescent="0.2">
      <c r="B32" s="78"/>
      <c r="C32" s="59"/>
      <c r="D32" s="59"/>
      <c r="E32" s="59"/>
      <c r="F32" s="6"/>
      <c r="G32" s="74" t="s">
        <v>29</v>
      </c>
      <c r="H32" s="6"/>
      <c r="I32" s="6"/>
      <c r="J32" s="6"/>
      <c r="K32" s="6"/>
      <c r="L32" s="6"/>
      <c r="M32" s="6"/>
      <c r="N32" s="6"/>
      <c r="O32" s="6"/>
      <c r="P32" s="6"/>
      <c r="Q32" s="6"/>
      <c r="R32" s="6"/>
      <c r="S32" s="6"/>
    </row>
    <row r="33" spans="2:19" x14ac:dyDescent="0.2">
      <c r="B33" s="79" t="s">
        <v>177</v>
      </c>
      <c r="C33" s="59"/>
      <c r="D33" s="59"/>
      <c r="E33" s="59"/>
      <c r="F33" s="6"/>
      <c r="G33" s="74"/>
      <c r="H33" s="142" t="s">
        <v>142</v>
      </c>
      <c r="I33" s="142"/>
      <c r="J33" s="142"/>
      <c r="K33" s="142"/>
      <c r="L33" s="6"/>
      <c r="M33" s="6"/>
      <c r="N33" s="6"/>
      <c r="O33" s="6"/>
      <c r="P33" s="6"/>
      <c r="Q33" s="6"/>
      <c r="R33" s="6"/>
      <c r="S33" s="6"/>
    </row>
    <row r="34" spans="2:19" x14ac:dyDescent="0.2">
      <c r="B34" s="73" t="s">
        <v>165</v>
      </c>
      <c r="C34" s="14"/>
      <c r="D34" s="14"/>
      <c r="E34" s="14"/>
      <c r="F34" s="6"/>
      <c r="G34" s="74"/>
      <c r="H34" s="142"/>
      <c r="I34" s="142"/>
      <c r="J34" s="142"/>
      <c r="K34" s="142"/>
      <c r="L34" s="6"/>
      <c r="M34" s="6"/>
      <c r="N34" s="6"/>
      <c r="O34" s="6"/>
      <c r="P34" s="6"/>
      <c r="Q34" s="6"/>
      <c r="R34" s="6"/>
      <c r="S34" s="6"/>
    </row>
    <row r="35" spans="2:19" x14ac:dyDescent="0.2">
      <c r="B35" s="14"/>
      <c r="C35" s="141" t="s">
        <v>125</v>
      </c>
      <c r="D35" s="141"/>
      <c r="E35" s="141"/>
      <c r="F35" s="6"/>
      <c r="G35" s="74" t="s">
        <v>30</v>
      </c>
      <c r="H35" s="6"/>
      <c r="I35" s="6"/>
      <c r="J35" s="6"/>
      <c r="K35" s="6"/>
      <c r="L35" s="6"/>
      <c r="M35" s="6"/>
      <c r="N35" s="6"/>
      <c r="O35" s="6"/>
      <c r="P35" s="6"/>
      <c r="Q35" s="6"/>
      <c r="R35" s="6"/>
      <c r="S35" s="6"/>
    </row>
    <row r="36" spans="2:19" x14ac:dyDescent="0.2">
      <c r="B36" s="14"/>
      <c r="C36" s="141"/>
      <c r="D36" s="141"/>
      <c r="E36" s="141"/>
      <c r="F36" s="6"/>
      <c r="G36" s="74"/>
      <c r="H36" s="142" t="s">
        <v>143</v>
      </c>
      <c r="I36" s="142"/>
      <c r="J36" s="142"/>
      <c r="K36" s="142"/>
      <c r="L36" s="6"/>
      <c r="M36" s="6"/>
      <c r="N36" s="6"/>
      <c r="O36" s="6"/>
      <c r="P36" s="6"/>
      <c r="Q36" s="6"/>
      <c r="R36" s="6"/>
      <c r="S36" s="6"/>
    </row>
    <row r="37" spans="2:19" x14ac:dyDescent="0.2">
      <c r="B37" s="14"/>
      <c r="C37" s="141"/>
      <c r="D37" s="141"/>
      <c r="E37" s="141"/>
      <c r="F37" s="6"/>
      <c r="G37" s="74"/>
      <c r="H37" s="142"/>
      <c r="I37" s="142"/>
      <c r="J37" s="142"/>
      <c r="K37" s="142"/>
      <c r="L37" s="6"/>
      <c r="M37" s="6"/>
      <c r="N37" s="6"/>
      <c r="O37" s="6"/>
      <c r="P37" s="6"/>
      <c r="Q37" s="6"/>
      <c r="R37" s="6"/>
      <c r="S37" s="6"/>
    </row>
    <row r="38" spans="2:19" x14ac:dyDescent="0.2">
      <c r="B38" s="73" t="s">
        <v>166</v>
      </c>
      <c r="C38" s="59"/>
      <c r="D38" s="59"/>
      <c r="E38" s="59"/>
      <c r="F38" s="6"/>
      <c r="G38" s="74"/>
      <c r="H38" s="142"/>
      <c r="I38" s="142"/>
      <c r="J38" s="142"/>
      <c r="K38" s="142"/>
      <c r="L38" s="6"/>
      <c r="M38" s="6"/>
      <c r="N38" s="6"/>
      <c r="O38" s="6"/>
      <c r="P38" s="6"/>
      <c r="Q38" s="6"/>
      <c r="R38" s="6"/>
      <c r="S38" s="6"/>
    </row>
    <row r="39" spans="2:19" ht="18" customHeight="1" x14ac:dyDescent="0.2">
      <c r="B39" s="14"/>
      <c r="C39" s="144" t="s">
        <v>178</v>
      </c>
      <c r="D39" s="144"/>
      <c r="E39" s="144"/>
      <c r="F39" s="6"/>
      <c r="G39" s="74" t="s">
        <v>31</v>
      </c>
      <c r="H39" s="6"/>
      <c r="I39" s="6"/>
      <c r="J39" s="6"/>
      <c r="K39" s="6"/>
      <c r="L39" s="6"/>
      <c r="M39" s="6"/>
      <c r="N39" s="6"/>
      <c r="O39" s="6"/>
      <c r="P39" s="6"/>
      <c r="Q39" s="6"/>
      <c r="R39" s="6"/>
      <c r="S39" s="6"/>
    </row>
    <row r="40" spans="2:19" ht="18" customHeight="1" x14ac:dyDescent="0.2">
      <c r="B40" s="14"/>
      <c r="C40" s="144"/>
      <c r="D40" s="144"/>
      <c r="E40" s="144"/>
      <c r="F40" s="6"/>
      <c r="G40" s="14"/>
      <c r="H40" s="145" t="s">
        <v>144</v>
      </c>
      <c r="I40" s="145"/>
      <c r="J40" s="145"/>
      <c r="K40" s="145"/>
      <c r="L40" s="6"/>
      <c r="M40" s="6"/>
      <c r="N40" s="6"/>
      <c r="O40" s="6"/>
      <c r="P40" s="6"/>
      <c r="Q40" s="6"/>
      <c r="R40" s="6"/>
      <c r="S40" s="6"/>
    </row>
    <row r="41" spans="2:19" ht="18" customHeight="1" x14ac:dyDescent="0.2">
      <c r="B41" s="14"/>
      <c r="C41" s="144"/>
      <c r="D41" s="144"/>
      <c r="E41" s="144"/>
      <c r="F41" s="6"/>
      <c r="G41" s="14"/>
      <c r="H41" s="145"/>
      <c r="I41" s="145"/>
      <c r="J41" s="145"/>
      <c r="K41" s="145"/>
      <c r="L41" s="6"/>
      <c r="M41" s="6"/>
      <c r="N41" s="6"/>
      <c r="O41" s="6"/>
      <c r="P41" s="6"/>
      <c r="Q41" s="6"/>
      <c r="R41" s="6"/>
      <c r="S41" s="6"/>
    </row>
    <row r="42" spans="2:19" ht="18" customHeight="1" x14ac:dyDescent="0.2">
      <c r="B42" s="14"/>
      <c r="C42" s="144"/>
      <c r="D42" s="144"/>
      <c r="E42" s="144"/>
      <c r="F42" s="6"/>
      <c r="G42" s="6"/>
      <c r="H42" s="145"/>
      <c r="I42" s="145"/>
      <c r="J42" s="145"/>
      <c r="K42" s="145"/>
      <c r="L42" s="6"/>
      <c r="M42" s="6"/>
      <c r="N42" s="6"/>
      <c r="O42" s="6"/>
      <c r="P42" s="6"/>
      <c r="Q42" s="6"/>
      <c r="R42" s="6"/>
      <c r="S42" s="6"/>
    </row>
    <row r="43" spans="2:19" ht="18" customHeight="1" x14ac:dyDescent="0.2">
      <c r="B43" s="73" t="s">
        <v>167</v>
      </c>
      <c r="C43" s="14"/>
      <c r="D43" s="14"/>
      <c r="E43" s="14"/>
      <c r="F43" s="6"/>
      <c r="G43" s="150" t="s">
        <v>91</v>
      </c>
      <c r="H43" s="150"/>
      <c r="I43" s="6"/>
      <c r="J43" s="6"/>
      <c r="K43" s="6"/>
      <c r="L43" s="6"/>
      <c r="M43" s="6"/>
      <c r="N43" s="6"/>
      <c r="O43" s="6"/>
      <c r="P43" s="6"/>
      <c r="Q43" s="6"/>
      <c r="R43" s="6"/>
      <c r="S43" s="6"/>
    </row>
    <row r="44" spans="2:19" ht="18" customHeight="1" x14ac:dyDescent="0.2">
      <c r="B44" s="14"/>
      <c r="C44" s="141" t="s">
        <v>181</v>
      </c>
      <c r="D44" s="141"/>
      <c r="E44" s="141"/>
      <c r="F44" s="6"/>
      <c r="G44" s="80" t="s">
        <v>90</v>
      </c>
      <c r="H44" s="6"/>
      <c r="I44" s="6"/>
      <c r="J44" s="6"/>
      <c r="K44" s="6"/>
      <c r="L44" s="6"/>
      <c r="M44" s="6"/>
      <c r="N44" s="6"/>
      <c r="O44" s="6"/>
      <c r="P44" s="6"/>
      <c r="Q44" s="6"/>
      <c r="R44" s="6"/>
      <c r="S44" s="6"/>
    </row>
    <row r="45" spans="2:19" ht="18" customHeight="1" x14ac:dyDescent="0.2">
      <c r="B45" s="14"/>
      <c r="C45" s="141"/>
      <c r="D45" s="141"/>
      <c r="E45" s="141"/>
      <c r="F45" s="6"/>
      <c r="G45" s="80"/>
      <c r="H45" s="142" t="s">
        <v>146</v>
      </c>
      <c r="I45" s="142"/>
      <c r="J45" s="142"/>
      <c r="K45" s="142"/>
      <c r="L45" s="6"/>
      <c r="M45" s="6"/>
      <c r="N45" s="6"/>
      <c r="O45" s="6"/>
      <c r="P45" s="6"/>
      <c r="Q45" s="6"/>
      <c r="R45" s="6"/>
      <c r="S45" s="6"/>
    </row>
    <row r="46" spans="2:19" ht="15" customHeight="1" x14ac:dyDescent="0.2">
      <c r="B46" s="14"/>
      <c r="C46" s="141"/>
      <c r="D46" s="141"/>
      <c r="E46" s="141"/>
      <c r="F46" s="6"/>
      <c r="G46" s="80"/>
      <c r="H46" s="142"/>
      <c r="I46" s="142"/>
      <c r="J46" s="142"/>
      <c r="K46" s="142"/>
      <c r="L46" s="6"/>
      <c r="M46" s="6"/>
      <c r="N46" s="6"/>
      <c r="O46" s="6"/>
      <c r="P46" s="6"/>
      <c r="Q46" s="6"/>
      <c r="R46" s="6"/>
      <c r="S46" s="6"/>
    </row>
    <row r="47" spans="2:19" ht="16.5" customHeight="1" x14ac:dyDescent="0.2">
      <c r="B47" s="14"/>
      <c r="C47" s="141"/>
      <c r="D47" s="141"/>
      <c r="E47" s="141"/>
      <c r="F47" s="6"/>
      <c r="G47" s="80"/>
      <c r="H47" s="142"/>
      <c r="I47" s="142"/>
      <c r="J47" s="142"/>
      <c r="K47" s="142"/>
      <c r="L47" s="6"/>
      <c r="M47" s="6"/>
      <c r="N47" s="6"/>
      <c r="O47" s="6"/>
      <c r="P47" s="6"/>
      <c r="Q47" s="6"/>
      <c r="R47" s="6"/>
      <c r="S47" s="6"/>
    </row>
    <row r="48" spans="2:19" x14ac:dyDescent="0.2">
      <c r="B48" s="14"/>
      <c r="C48" s="141"/>
      <c r="D48" s="141"/>
      <c r="E48" s="141"/>
      <c r="F48" s="6"/>
      <c r="G48" s="80" t="s">
        <v>89</v>
      </c>
      <c r="H48" s="6"/>
      <c r="I48" s="6"/>
      <c r="J48" s="6"/>
      <c r="K48" s="6"/>
      <c r="L48" s="6"/>
      <c r="M48" s="6"/>
      <c r="N48" s="6"/>
      <c r="O48" s="6"/>
      <c r="P48" s="6"/>
      <c r="Q48" s="6"/>
      <c r="R48" s="6"/>
      <c r="S48" s="6"/>
    </row>
    <row r="49" spans="2:19" x14ac:dyDescent="0.2">
      <c r="B49" s="73" t="s">
        <v>168</v>
      </c>
      <c r="C49" s="59"/>
      <c r="D49" s="59"/>
      <c r="E49" s="59"/>
      <c r="F49" s="6"/>
      <c r="G49" s="80"/>
      <c r="H49" s="142" t="s">
        <v>147</v>
      </c>
      <c r="I49" s="142"/>
      <c r="J49" s="142"/>
      <c r="K49" s="142"/>
      <c r="L49" s="6"/>
      <c r="M49" s="6"/>
      <c r="N49" s="6"/>
      <c r="O49" s="6"/>
      <c r="P49" s="6"/>
      <c r="Q49" s="6"/>
      <c r="R49" s="6"/>
      <c r="S49" s="6"/>
    </row>
    <row r="50" spans="2:19" ht="16.5" customHeight="1" x14ac:dyDescent="0.2">
      <c r="B50" s="14"/>
      <c r="C50" s="141" t="s">
        <v>180</v>
      </c>
      <c r="D50" s="141"/>
      <c r="E50" s="141"/>
      <c r="F50" s="6"/>
      <c r="G50" s="81"/>
      <c r="H50" s="142"/>
      <c r="I50" s="142"/>
      <c r="J50" s="142"/>
      <c r="K50" s="142"/>
      <c r="L50" s="6"/>
      <c r="M50" s="6"/>
      <c r="N50" s="6"/>
      <c r="O50" s="6"/>
      <c r="P50" s="6"/>
      <c r="Q50" s="6"/>
      <c r="R50" s="6"/>
      <c r="S50" s="6"/>
    </row>
    <row r="51" spans="2:19" ht="16.5" customHeight="1" x14ac:dyDescent="0.2">
      <c r="B51" s="14"/>
      <c r="C51" s="141"/>
      <c r="D51" s="141"/>
      <c r="E51" s="141"/>
      <c r="F51" s="6"/>
      <c r="G51" s="80" t="s">
        <v>92</v>
      </c>
      <c r="H51" s="6"/>
      <c r="I51" s="6"/>
      <c r="J51" s="6"/>
      <c r="K51" s="6"/>
      <c r="L51" s="6"/>
      <c r="M51" s="6"/>
      <c r="N51" s="6"/>
      <c r="O51" s="6"/>
      <c r="P51" s="6"/>
      <c r="Q51" s="6"/>
      <c r="R51" s="6"/>
      <c r="S51" s="6"/>
    </row>
    <row r="52" spans="2:19" x14ac:dyDescent="0.2">
      <c r="B52" s="14"/>
      <c r="C52" s="141"/>
      <c r="D52" s="141"/>
      <c r="E52" s="141"/>
      <c r="F52" s="6"/>
      <c r="G52" s="80"/>
      <c r="H52" s="142" t="s">
        <v>148</v>
      </c>
      <c r="I52" s="142"/>
      <c r="J52" s="142"/>
      <c r="K52" s="142"/>
      <c r="L52" s="6"/>
      <c r="M52" s="6"/>
      <c r="N52" s="6"/>
      <c r="O52" s="6"/>
      <c r="P52" s="6"/>
      <c r="Q52" s="6"/>
      <c r="R52" s="6"/>
      <c r="S52" s="6"/>
    </row>
    <row r="53" spans="2:19" x14ac:dyDescent="0.2">
      <c r="B53" s="14"/>
      <c r="C53" s="141"/>
      <c r="D53" s="141"/>
      <c r="E53" s="141"/>
      <c r="F53" s="6"/>
      <c r="G53" s="80"/>
      <c r="H53" s="142"/>
      <c r="I53" s="142"/>
      <c r="J53" s="142"/>
      <c r="K53" s="142"/>
      <c r="L53" s="6"/>
      <c r="M53" s="6"/>
      <c r="N53" s="6"/>
      <c r="O53" s="6"/>
      <c r="P53" s="6"/>
      <c r="Q53" s="6"/>
      <c r="R53" s="6"/>
      <c r="S53" s="6"/>
    </row>
    <row r="54" spans="2:19" x14ac:dyDescent="0.2">
      <c r="B54" s="14"/>
      <c r="C54" s="141"/>
      <c r="D54" s="141"/>
      <c r="E54" s="141"/>
      <c r="F54" s="6"/>
      <c r="G54" s="80" t="s">
        <v>93</v>
      </c>
      <c r="H54" s="6"/>
      <c r="I54" s="6"/>
      <c r="J54" s="6"/>
      <c r="K54" s="6"/>
      <c r="L54" s="6"/>
      <c r="M54" s="6"/>
      <c r="N54" s="6"/>
      <c r="O54" s="6"/>
      <c r="P54" s="6"/>
      <c r="Q54" s="6"/>
      <c r="R54" s="6"/>
      <c r="S54" s="6"/>
    </row>
    <row r="55" spans="2:19" x14ac:dyDescent="0.2">
      <c r="B55" s="73" t="s">
        <v>80</v>
      </c>
      <c r="C55" s="14"/>
      <c r="D55" s="14"/>
      <c r="E55" s="14"/>
      <c r="F55" s="6"/>
      <c r="G55" s="80"/>
      <c r="H55" s="142" t="s">
        <v>149</v>
      </c>
      <c r="I55" s="142"/>
      <c r="J55" s="142"/>
      <c r="K55" s="142"/>
      <c r="L55" s="6"/>
      <c r="M55" s="6"/>
      <c r="N55" s="6"/>
      <c r="O55" s="6"/>
      <c r="P55" s="6"/>
      <c r="Q55" s="6"/>
      <c r="R55" s="6"/>
      <c r="S55" s="6"/>
    </row>
    <row r="56" spans="2:19" x14ac:dyDescent="0.2">
      <c r="B56" s="73"/>
      <c r="C56" s="141" t="s">
        <v>126</v>
      </c>
      <c r="D56" s="143"/>
      <c r="E56" s="143"/>
      <c r="F56" s="6"/>
      <c r="G56" s="80"/>
      <c r="H56" s="142"/>
      <c r="I56" s="142"/>
      <c r="J56" s="142"/>
      <c r="K56" s="142"/>
      <c r="L56" s="6"/>
      <c r="M56" s="6"/>
      <c r="N56" s="6"/>
      <c r="O56" s="6"/>
      <c r="P56" s="6"/>
      <c r="Q56" s="6"/>
      <c r="R56" s="6"/>
      <c r="S56" s="6"/>
    </row>
    <row r="57" spans="2:19" x14ac:dyDescent="0.2">
      <c r="B57" s="73"/>
      <c r="C57" s="143"/>
      <c r="D57" s="143"/>
      <c r="E57" s="143"/>
      <c r="F57" s="6"/>
      <c r="G57" s="82" t="s">
        <v>109</v>
      </c>
      <c r="H57" s="6"/>
      <c r="I57" s="6"/>
      <c r="J57" s="6"/>
      <c r="K57" s="6"/>
      <c r="L57" s="6"/>
      <c r="M57" s="6"/>
      <c r="N57" s="6"/>
      <c r="O57" s="6"/>
      <c r="P57" s="6"/>
      <c r="Q57" s="6"/>
      <c r="R57" s="6"/>
      <c r="S57" s="6"/>
    </row>
    <row r="58" spans="2:19" ht="16.5" customHeight="1" x14ac:dyDescent="0.2">
      <c r="B58" s="73"/>
      <c r="C58" s="143"/>
      <c r="D58" s="143"/>
      <c r="E58" s="143"/>
      <c r="F58" s="6"/>
      <c r="G58" s="82"/>
      <c r="H58" s="142" t="s">
        <v>150</v>
      </c>
      <c r="I58" s="142"/>
      <c r="J58" s="142"/>
      <c r="K58" s="142"/>
      <c r="L58" s="6"/>
      <c r="M58" s="6"/>
      <c r="N58" s="6"/>
      <c r="O58" s="6"/>
      <c r="P58" s="6"/>
      <c r="Q58" s="6"/>
      <c r="R58" s="6"/>
      <c r="S58" s="6"/>
    </row>
    <row r="59" spans="2:19" ht="17.25" customHeight="1" x14ac:dyDescent="0.2">
      <c r="B59" s="73"/>
      <c r="C59" s="143"/>
      <c r="D59" s="143"/>
      <c r="E59" s="143"/>
      <c r="F59" s="6"/>
      <c r="G59" s="82"/>
      <c r="H59" s="142"/>
      <c r="I59" s="142"/>
      <c r="J59" s="142"/>
      <c r="K59" s="142"/>
      <c r="L59" s="6"/>
      <c r="M59" s="6"/>
      <c r="N59" s="6"/>
      <c r="O59" s="6"/>
      <c r="P59" s="6"/>
      <c r="Q59" s="6"/>
      <c r="R59" s="6"/>
      <c r="S59" s="6"/>
    </row>
    <row r="60" spans="2:19" ht="16.5" customHeight="1" x14ac:dyDescent="0.2">
      <c r="B60" s="73"/>
      <c r="C60" s="143"/>
      <c r="D60" s="143"/>
      <c r="E60" s="143"/>
      <c r="F60" s="6"/>
      <c r="G60" s="82"/>
      <c r="H60" s="142"/>
      <c r="I60" s="142"/>
      <c r="J60" s="142"/>
      <c r="K60" s="142"/>
      <c r="L60" s="6"/>
      <c r="M60" s="6"/>
      <c r="N60" s="6"/>
      <c r="O60" s="6"/>
      <c r="P60" s="6"/>
      <c r="Q60" s="6"/>
      <c r="R60" s="6"/>
      <c r="S60" s="6"/>
    </row>
    <row r="61" spans="2:19" ht="21" customHeight="1" x14ac:dyDescent="0.2">
      <c r="B61" s="78"/>
      <c r="C61" s="143"/>
      <c r="D61" s="143"/>
      <c r="E61" s="143"/>
      <c r="F61" s="6"/>
      <c r="G61" s="80" t="s">
        <v>95</v>
      </c>
      <c r="H61" s="6"/>
      <c r="I61" s="6"/>
      <c r="J61" s="6"/>
      <c r="K61" s="6"/>
      <c r="L61" s="6"/>
      <c r="M61" s="6"/>
      <c r="N61" s="6"/>
      <c r="O61" s="6"/>
      <c r="P61" s="6"/>
      <c r="Q61" s="6"/>
      <c r="R61" s="6"/>
      <c r="S61" s="6"/>
    </row>
    <row r="62" spans="2:19" ht="21" customHeight="1" x14ac:dyDescent="0.2">
      <c r="B62" s="78"/>
      <c r="C62" s="60"/>
      <c r="D62" s="60"/>
      <c r="E62" s="60"/>
      <c r="F62" s="6"/>
      <c r="G62" s="80"/>
      <c r="H62" s="142" t="s">
        <v>151</v>
      </c>
      <c r="I62" s="142"/>
      <c r="J62" s="142"/>
      <c r="K62" s="142"/>
      <c r="L62" s="6"/>
      <c r="M62" s="6"/>
      <c r="N62" s="6"/>
      <c r="O62" s="6"/>
      <c r="P62" s="6"/>
      <c r="Q62" s="6"/>
      <c r="R62" s="6"/>
      <c r="S62" s="6"/>
    </row>
    <row r="63" spans="2:19" ht="21" customHeight="1" x14ac:dyDescent="0.2">
      <c r="B63" s="79" t="s">
        <v>179</v>
      </c>
      <c r="C63" s="60"/>
      <c r="D63" s="60"/>
      <c r="E63" s="60"/>
      <c r="F63" s="6"/>
      <c r="G63" s="80"/>
      <c r="H63" s="142"/>
      <c r="I63" s="142"/>
      <c r="J63" s="142"/>
      <c r="K63" s="142"/>
      <c r="L63" s="6"/>
      <c r="M63" s="6"/>
      <c r="N63" s="6"/>
      <c r="O63" s="6"/>
      <c r="P63" s="6"/>
      <c r="Q63" s="6"/>
      <c r="R63" s="6"/>
      <c r="S63" s="6"/>
    </row>
    <row r="64" spans="2:19" x14ac:dyDescent="0.2">
      <c r="B64" s="73" t="s">
        <v>13</v>
      </c>
      <c r="C64" s="14"/>
      <c r="D64" s="14"/>
      <c r="E64" s="14"/>
      <c r="F64" s="6"/>
      <c r="G64" s="80" t="s">
        <v>94</v>
      </c>
      <c r="H64" s="6"/>
      <c r="I64" s="6"/>
      <c r="J64" s="6"/>
      <c r="K64" s="6"/>
      <c r="L64" s="6"/>
      <c r="M64" s="6"/>
      <c r="N64" s="6"/>
      <c r="O64" s="6"/>
      <c r="P64" s="6"/>
      <c r="Q64" s="6"/>
      <c r="R64" s="6"/>
      <c r="S64" s="6"/>
    </row>
    <row r="65" spans="2:19" ht="21.75" customHeight="1" x14ac:dyDescent="0.2">
      <c r="B65" s="73"/>
      <c r="C65" s="141" t="s">
        <v>127</v>
      </c>
      <c r="D65" s="141"/>
      <c r="E65" s="141"/>
      <c r="F65" s="6"/>
      <c r="G65" s="6"/>
      <c r="H65" s="142" t="s">
        <v>152</v>
      </c>
      <c r="I65" s="142"/>
      <c r="J65" s="142"/>
      <c r="K65" s="142"/>
      <c r="L65" s="6"/>
      <c r="M65" s="6"/>
      <c r="N65" s="6"/>
      <c r="O65" s="6"/>
      <c r="P65" s="6"/>
      <c r="Q65" s="6"/>
      <c r="R65" s="6"/>
      <c r="S65" s="6"/>
    </row>
    <row r="66" spans="2:19" ht="21.75" customHeight="1" x14ac:dyDescent="0.2">
      <c r="B66" s="73"/>
      <c r="C66" s="141"/>
      <c r="D66" s="141"/>
      <c r="E66" s="141"/>
      <c r="F66" s="6"/>
      <c r="G66" s="6"/>
      <c r="H66" s="48"/>
      <c r="I66" s="48"/>
      <c r="J66" s="48"/>
      <c r="K66" s="48"/>
      <c r="L66" s="6"/>
      <c r="M66" s="6"/>
      <c r="N66" s="6"/>
      <c r="O66" s="6"/>
      <c r="P66" s="6"/>
      <c r="Q66" s="6"/>
      <c r="R66" s="6"/>
      <c r="S66" s="6"/>
    </row>
    <row r="67" spans="2:19" ht="21.75" customHeight="1" x14ac:dyDescent="0.2">
      <c r="B67" s="73"/>
      <c r="C67" s="141"/>
      <c r="D67" s="141"/>
      <c r="E67" s="141"/>
      <c r="F67" s="6"/>
      <c r="G67" s="83" t="s">
        <v>157</v>
      </c>
      <c r="H67" s="83"/>
      <c r="I67" s="54"/>
      <c r="J67" s="6"/>
      <c r="K67" s="6"/>
      <c r="L67" s="6"/>
      <c r="M67" s="6"/>
      <c r="N67" s="6"/>
      <c r="O67" s="6"/>
      <c r="P67" s="6"/>
      <c r="Q67" s="6"/>
      <c r="R67" s="6"/>
      <c r="S67" s="6"/>
    </row>
    <row r="68" spans="2:19" ht="21.75" customHeight="1" x14ac:dyDescent="0.2">
      <c r="B68" s="73" t="s">
        <v>182</v>
      </c>
      <c r="C68" s="14"/>
      <c r="D68" s="14"/>
      <c r="E68" s="14"/>
      <c r="F68" s="6"/>
      <c r="G68" s="141" t="s">
        <v>159</v>
      </c>
      <c r="H68" s="141"/>
      <c r="I68" s="141"/>
      <c r="J68" s="141"/>
      <c r="K68" s="141"/>
      <c r="L68" s="6"/>
      <c r="M68" s="6"/>
      <c r="N68" s="6"/>
      <c r="O68" s="6"/>
      <c r="P68" s="6"/>
      <c r="Q68" s="6"/>
      <c r="R68" s="6"/>
      <c r="S68" s="6"/>
    </row>
    <row r="69" spans="2:19" ht="21.75" customHeight="1" x14ac:dyDescent="0.2">
      <c r="B69" s="73"/>
      <c r="C69" s="141" t="s">
        <v>164</v>
      </c>
      <c r="D69" s="141"/>
      <c r="E69" s="141"/>
      <c r="F69" s="6"/>
      <c r="G69" s="141"/>
      <c r="H69" s="141"/>
      <c r="I69" s="141"/>
      <c r="J69" s="141"/>
      <c r="K69" s="141"/>
      <c r="L69" s="6"/>
      <c r="M69" s="6"/>
      <c r="N69" s="6"/>
      <c r="O69" s="6"/>
      <c r="P69" s="6"/>
      <c r="Q69" s="6"/>
      <c r="R69" s="6"/>
      <c r="S69" s="6"/>
    </row>
    <row r="70" spans="2:19" ht="21.75" customHeight="1" x14ac:dyDescent="0.2">
      <c r="B70" s="73"/>
      <c r="C70" s="141"/>
      <c r="D70" s="141"/>
      <c r="E70" s="141"/>
      <c r="F70" s="6"/>
      <c r="G70" s="141"/>
      <c r="H70" s="141"/>
      <c r="I70" s="141"/>
      <c r="J70" s="141"/>
      <c r="K70" s="141"/>
      <c r="L70" s="6"/>
      <c r="M70" s="6"/>
      <c r="N70" s="6"/>
      <c r="O70" s="6"/>
      <c r="P70" s="6"/>
      <c r="Q70" s="6"/>
      <c r="R70" s="6"/>
      <c r="S70" s="6"/>
    </row>
    <row r="71" spans="2:19" ht="16.5" customHeight="1" x14ac:dyDescent="0.2">
      <c r="B71" s="73"/>
      <c r="C71" s="141"/>
      <c r="D71" s="141"/>
      <c r="E71" s="141"/>
      <c r="F71" s="6"/>
      <c r="G71" s="80" t="s">
        <v>243</v>
      </c>
      <c r="H71" s="6"/>
      <c r="I71" s="6"/>
      <c r="J71" s="6"/>
      <c r="K71" s="6"/>
      <c r="L71" s="6"/>
      <c r="M71" s="6"/>
      <c r="N71" s="6"/>
      <c r="O71" s="6"/>
      <c r="P71" s="6"/>
      <c r="Q71" s="6"/>
      <c r="R71" s="6"/>
      <c r="S71" s="6"/>
    </row>
    <row r="72" spans="2:19" x14ac:dyDescent="0.2">
      <c r="B72" s="73" t="s">
        <v>15</v>
      </c>
      <c r="C72" s="59"/>
      <c r="D72" s="59"/>
      <c r="E72" s="59"/>
      <c r="F72" s="6"/>
      <c r="G72" s="6"/>
      <c r="H72" s="142" t="s">
        <v>158</v>
      </c>
      <c r="I72" s="142"/>
      <c r="J72" s="142"/>
      <c r="K72" s="142"/>
      <c r="L72" s="6"/>
      <c r="M72" s="6"/>
      <c r="N72" s="6"/>
      <c r="O72" s="6"/>
      <c r="P72" s="6"/>
      <c r="Q72" s="6"/>
      <c r="R72" s="6"/>
      <c r="S72" s="6"/>
    </row>
    <row r="73" spans="2:19" x14ac:dyDescent="0.2">
      <c r="B73" s="73"/>
      <c r="C73" s="141" t="s">
        <v>128</v>
      </c>
      <c r="D73" s="141"/>
      <c r="E73" s="141"/>
      <c r="F73" s="6"/>
      <c r="G73" s="6"/>
      <c r="H73" s="142"/>
      <c r="I73" s="142"/>
      <c r="J73" s="142"/>
      <c r="K73" s="142"/>
      <c r="L73" s="6"/>
      <c r="M73" s="6"/>
      <c r="N73" s="6"/>
      <c r="O73" s="6"/>
      <c r="P73" s="6"/>
      <c r="Q73" s="6"/>
      <c r="R73" s="6"/>
      <c r="S73" s="6"/>
    </row>
    <row r="74" spans="2:19" ht="23.25" customHeight="1" x14ac:dyDescent="0.2">
      <c r="B74" s="73"/>
      <c r="C74" s="141"/>
      <c r="D74" s="141"/>
      <c r="E74" s="141"/>
      <c r="F74" s="6"/>
      <c r="G74" s="6"/>
      <c r="H74" s="142"/>
      <c r="I74" s="142"/>
      <c r="J74" s="142"/>
      <c r="K74" s="142"/>
      <c r="L74" s="6"/>
      <c r="M74" s="6"/>
      <c r="N74" s="6"/>
      <c r="O74" s="6"/>
      <c r="P74" s="6"/>
      <c r="Q74" s="6"/>
      <c r="R74" s="6"/>
      <c r="S74" s="6"/>
    </row>
    <row r="75" spans="2:19" ht="20.25" customHeight="1" x14ac:dyDescent="0.2">
      <c r="B75" s="73" t="s">
        <v>106</v>
      </c>
      <c r="C75" s="14"/>
      <c r="D75" s="14"/>
      <c r="E75" s="14"/>
      <c r="F75" s="6"/>
      <c r="G75" s="80" t="s">
        <v>244</v>
      </c>
      <c r="H75" s="6"/>
      <c r="I75" s="6"/>
      <c r="J75" s="6"/>
      <c r="K75" s="6"/>
      <c r="L75" s="6"/>
      <c r="M75" s="6"/>
      <c r="N75" s="6"/>
      <c r="O75" s="6"/>
      <c r="P75" s="6"/>
      <c r="Q75" s="6"/>
      <c r="R75" s="6"/>
      <c r="S75" s="6"/>
    </row>
    <row r="76" spans="2:19" x14ac:dyDescent="0.2">
      <c r="B76" s="73"/>
      <c r="C76" s="141" t="s">
        <v>129</v>
      </c>
      <c r="D76" s="141"/>
      <c r="E76" s="141"/>
      <c r="F76" s="6"/>
      <c r="G76" s="6"/>
      <c r="H76" s="142" t="s">
        <v>245</v>
      </c>
      <c r="I76" s="142"/>
      <c r="J76" s="142"/>
      <c r="K76" s="142"/>
      <c r="L76" s="6"/>
      <c r="M76" s="6"/>
      <c r="N76" s="6"/>
      <c r="O76" s="6"/>
      <c r="P76" s="6"/>
      <c r="Q76" s="6"/>
      <c r="R76" s="6"/>
      <c r="S76" s="6"/>
    </row>
    <row r="77" spans="2:19" x14ac:dyDescent="0.2">
      <c r="B77" s="73"/>
      <c r="C77" s="141"/>
      <c r="D77" s="141"/>
      <c r="E77" s="141"/>
      <c r="F77" s="6"/>
      <c r="G77" s="6"/>
      <c r="H77" s="142"/>
      <c r="I77" s="142"/>
      <c r="J77" s="142"/>
      <c r="K77" s="142"/>
      <c r="L77" s="6"/>
      <c r="M77" s="6"/>
      <c r="N77" s="6"/>
      <c r="O77" s="6"/>
      <c r="P77" s="6"/>
      <c r="Q77" s="6"/>
      <c r="R77" s="6"/>
      <c r="S77" s="6"/>
    </row>
    <row r="78" spans="2:19" x14ac:dyDescent="0.2">
      <c r="B78" s="73" t="s">
        <v>77</v>
      </c>
      <c r="C78" s="14"/>
      <c r="D78" s="14"/>
      <c r="E78" s="14"/>
      <c r="F78" s="6"/>
      <c r="G78" s="6"/>
      <c r="H78" s="142"/>
      <c r="I78" s="142"/>
      <c r="J78" s="142"/>
      <c r="K78" s="142"/>
      <c r="L78" s="6"/>
      <c r="M78" s="6"/>
      <c r="N78" s="6"/>
      <c r="O78" s="6"/>
      <c r="P78" s="6"/>
      <c r="Q78" s="6"/>
      <c r="R78" s="6"/>
      <c r="S78" s="6"/>
    </row>
    <row r="79" spans="2:19" x14ac:dyDescent="0.2">
      <c r="B79" s="73"/>
      <c r="C79" s="141" t="s">
        <v>130</v>
      </c>
      <c r="D79" s="141"/>
      <c r="E79" s="141"/>
      <c r="F79" s="6"/>
      <c r="G79" s="80" t="s">
        <v>72</v>
      </c>
      <c r="H79" s="6"/>
      <c r="I79" s="6"/>
      <c r="J79" s="6"/>
      <c r="K79" s="6"/>
      <c r="L79" s="6"/>
      <c r="M79" s="6"/>
      <c r="N79" s="6"/>
      <c r="O79" s="6"/>
      <c r="P79" s="6"/>
      <c r="Q79" s="6"/>
      <c r="R79" s="6"/>
      <c r="S79" s="6"/>
    </row>
    <row r="80" spans="2:19" ht="16.5" customHeight="1" x14ac:dyDescent="0.2">
      <c r="B80" s="73"/>
      <c r="C80" s="141"/>
      <c r="D80" s="141"/>
      <c r="E80" s="141"/>
      <c r="F80" s="6"/>
      <c r="G80" s="6"/>
      <c r="H80" s="142" t="s">
        <v>175</v>
      </c>
      <c r="I80" s="142"/>
      <c r="J80" s="142"/>
      <c r="K80" s="142"/>
      <c r="L80" s="6"/>
      <c r="M80" s="6"/>
      <c r="N80" s="6"/>
      <c r="O80" s="6"/>
      <c r="P80" s="6"/>
      <c r="Q80" s="6"/>
      <c r="R80" s="6"/>
      <c r="S80" s="6"/>
    </row>
    <row r="81" spans="2:19" x14ac:dyDescent="0.2">
      <c r="B81" s="73" t="s">
        <v>105</v>
      </c>
      <c r="C81" s="14"/>
      <c r="D81" s="14"/>
      <c r="E81" s="14"/>
      <c r="F81" s="6"/>
      <c r="G81" s="6"/>
      <c r="H81" s="142"/>
      <c r="I81" s="142"/>
      <c r="J81" s="142"/>
      <c r="K81" s="142"/>
      <c r="L81" s="6"/>
      <c r="M81" s="6"/>
      <c r="N81" s="6"/>
      <c r="O81" s="6"/>
      <c r="P81" s="6"/>
      <c r="Q81" s="6"/>
      <c r="R81" s="6"/>
      <c r="S81" s="6"/>
    </row>
    <row r="82" spans="2:19" x14ac:dyDescent="0.2">
      <c r="B82" s="73"/>
      <c r="C82" s="141" t="s">
        <v>131</v>
      </c>
      <c r="D82" s="141"/>
      <c r="E82" s="141"/>
      <c r="F82" s="6"/>
      <c r="G82" s="80" t="s">
        <v>210</v>
      </c>
      <c r="H82" s="6"/>
      <c r="I82" s="6"/>
      <c r="J82" s="6"/>
      <c r="K82" s="6"/>
      <c r="L82" s="6"/>
      <c r="M82" s="6"/>
      <c r="N82" s="6"/>
      <c r="O82" s="6"/>
      <c r="P82" s="6"/>
      <c r="Q82" s="6"/>
      <c r="R82" s="6"/>
      <c r="S82" s="6"/>
    </row>
    <row r="83" spans="2:19" ht="16.5" customHeight="1" x14ac:dyDescent="0.2">
      <c r="B83" s="14"/>
      <c r="C83" s="141"/>
      <c r="D83" s="141"/>
      <c r="E83" s="141"/>
      <c r="F83" s="6"/>
      <c r="G83" s="6"/>
      <c r="H83" s="142" t="s">
        <v>246</v>
      </c>
      <c r="I83" s="142"/>
      <c r="J83" s="142"/>
      <c r="K83" s="142"/>
      <c r="L83" s="6"/>
      <c r="M83" s="6"/>
      <c r="N83" s="6"/>
      <c r="O83" s="6"/>
      <c r="P83" s="6"/>
      <c r="Q83" s="6"/>
      <c r="R83" s="6"/>
      <c r="S83" s="6"/>
    </row>
    <row r="84" spans="2:19" x14ac:dyDescent="0.2">
      <c r="B84" s="14"/>
      <c r="C84" s="141"/>
      <c r="D84" s="141"/>
      <c r="E84" s="141"/>
      <c r="F84" s="6"/>
      <c r="G84" s="6"/>
      <c r="H84" s="142"/>
      <c r="I84" s="142"/>
      <c r="J84" s="142"/>
      <c r="K84" s="142"/>
      <c r="L84" s="6"/>
      <c r="M84" s="6"/>
      <c r="N84" s="6"/>
      <c r="O84" s="6"/>
      <c r="P84" s="6"/>
      <c r="Q84" s="6"/>
      <c r="R84" s="6"/>
      <c r="S84" s="6"/>
    </row>
    <row r="85" spans="2:19" x14ac:dyDescent="0.2">
      <c r="B85" s="14"/>
      <c r="C85" s="59"/>
      <c r="D85" s="59"/>
      <c r="E85" s="59"/>
      <c r="F85" s="6"/>
      <c r="G85" s="6"/>
      <c r="H85" s="142"/>
      <c r="I85" s="142"/>
      <c r="J85" s="142"/>
      <c r="K85" s="142"/>
      <c r="L85" s="6"/>
      <c r="M85" s="6"/>
      <c r="N85" s="6"/>
      <c r="O85" s="6"/>
      <c r="P85" s="6"/>
      <c r="Q85" s="6"/>
      <c r="R85" s="6"/>
      <c r="S85" s="6"/>
    </row>
    <row r="86" spans="2:19" x14ac:dyDescent="0.2">
      <c r="B86" s="84" t="s">
        <v>183</v>
      </c>
      <c r="C86" s="59"/>
      <c r="D86" s="59"/>
      <c r="E86" s="59"/>
      <c r="F86" s="6"/>
      <c r="G86" s="80" t="s">
        <v>247</v>
      </c>
      <c r="H86" s="6"/>
      <c r="I86" s="6"/>
      <c r="J86" s="6"/>
      <c r="K86" s="6"/>
      <c r="L86" s="6"/>
      <c r="M86" s="6"/>
      <c r="N86" s="6"/>
      <c r="O86" s="6"/>
      <c r="P86" s="6"/>
      <c r="Q86" s="6"/>
      <c r="R86" s="6"/>
      <c r="S86" s="6"/>
    </row>
    <row r="87" spans="2:19" ht="16.5" customHeight="1" x14ac:dyDescent="0.2">
      <c r="B87" s="73" t="s">
        <v>5</v>
      </c>
      <c r="C87" s="14"/>
      <c r="D87" s="14"/>
      <c r="E87" s="14"/>
      <c r="F87" s="6"/>
      <c r="G87" s="6"/>
      <c r="H87" s="142" t="s">
        <v>248</v>
      </c>
      <c r="I87" s="142"/>
      <c r="J87" s="142"/>
      <c r="K87" s="142"/>
      <c r="L87" s="6"/>
      <c r="M87" s="6"/>
      <c r="N87" s="6"/>
      <c r="O87" s="6"/>
      <c r="P87" s="6"/>
      <c r="Q87" s="6"/>
      <c r="R87" s="6"/>
      <c r="S87" s="6"/>
    </row>
    <row r="88" spans="2:19" x14ac:dyDescent="0.2">
      <c r="B88" s="73"/>
      <c r="C88" s="141" t="s">
        <v>132</v>
      </c>
      <c r="D88" s="141"/>
      <c r="E88" s="141"/>
      <c r="F88" s="6"/>
      <c r="G88" s="6"/>
      <c r="H88" s="142"/>
      <c r="I88" s="142"/>
      <c r="J88" s="142"/>
      <c r="K88" s="142"/>
      <c r="L88" s="6"/>
      <c r="M88" s="6"/>
      <c r="N88" s="6"/>
      <c r="O88" s="6"/>
      <c r="P88" s="6"/>
      <c r="Q88" s="6"/>
      <c r="R88" s="6"/>
      <c r="S88" s="6"/>
    </row>
    <row r="89" spans="2:19" x14ac:dyDescent="0.2">
      <c r="B89" s="73"/>
      <c r="C89" s="141"/>
      <c r="D89" s="141"/>
      <c r="E89" s="141"/>
      <c r="F89" s="6"/>
      <c r="G89" s="6"/>
      <c r="H89" s="142"/>
      <c r="I89" s="142"/>
      <c r="J89" s="142"/>
      <c r="K89" s="142"/>
      <c r="L89" s="6"/>
      <c r="M89" s="6"/>
      <c r="N89" s="6"/>
      <c r="O89" s="6"/>
      <c r="P89" s="6"/>
      <c r="Q89" s="6"/>
      <c r="R89" s="6"/>
      <c r="S89" s="6"/>
    </row>
    <row r="90" spans="2:19" ht="16.5" customHeight="1" x14ac:dyDescent="0.2">
      <c r="B90" s="73"/>
      <c r="C90" s="141"/>
      <c r="D90" s="141"/>
      <c r="E90" s="141"/>
      <c r="F90" s="6"/>
      <c r="G90" s="6"/>
      <c r="H90" s="142"/>
      <c r="I90" s="142"/>
      <c r="J90" s="142"/>
      <c r="K90" s="142"/>
      <c r="L90" s="6"/>
      <c r="M90" s="6"/>
      <c r="N90" s="6"/>
      <c r="O90" s="6"/>
      <c r="P90" s="6"/>
      <c r="Q90" s="6"/>
      <c r="R90" s="6"/>
      <c r="S90" s="6"/>
    </row>
    <row r="91" spans="2:19" x14ac:dyDescent="0.2">
      <c r="B91" s="73" t="s">
        <v>4</v>
      </c>
      <c r="C91" s="14"/>
      <c r="D91" s="14"/>
      <c r="E91" s="14"/>
      <c r="F91" s="6"/>
      <c r="G91" s="6"/>
      <c r="H91" s="6"/>
      <c r="I91" s="6"/>
      <c r="J91" s="6"/>
      <c r="K91" s="6"/>
      <c r="L91" s="6"/>
      <c r="M91" s="6"/>
      <c r="N91" s="6"/>
      <c r="O91" s="6"/>
      <c r="P91" s="6"/>
      <c r="Q91" s="6"/>
      <c r="R91" s="6"/>
      <c r="S91" s="6"/>
    </row>
    <row r="92" spans="2:19" x14ac:dyDescent="0.2">
      <c r="B92" s="73"/>
      <c r="C92" s="141" t="s">
        <v>133</v>
      </c>
      <c r="D92" s="141"/>
      <c r="E92" s="141"/>
      <c r="F92" s="6"/>
      <c r="G92" s="6"/>
      <c r="H92" s="6"/>
      <c r="I92" s="6"/>
      <c r="J92" s="6"/>
      <c r="K92" s="6"/>
      <c r="L92" s="6"/>
      <c r="M92" s="6"/>
      <c r="N92" s="6"/>
      <c r="O92" s="6"/>
      <c r="P92" s="6"/>
      <c r="Q92" s="6"/>
      <c r="R92" s="6"/>
      <c r="S92" s="6"/>
    </row>
    <row r="93" spans="2:19" x14ac:dyDescent="0.2">
      <c r="B93" s="73"/>
      <c r="C93" s="141"/>
      <c r="D93" s="141"/>
      <c r="E93" s="141"/>
      <c r="F93" s="6"/>
      <c r="G93" s="6"/>
      <c r="H93" s="6"/>
      <c r="I93" s="6"/>
      <c r="J93" s="6"/>
      <c r="K93" s="6"/>
      <c r="L93" s="6"/>
      <c r="M93" s="6"/>
      <c r="N93" s="6"/>
      <c r="O93" s="6"/>
      <c r="P93" s="6"/>
      <c r="Q93" s="6"/>
      <c r="R93" s="6"/>
      <c r="S93" s="6"/>
    </row>
    <row r="94" spans="2:19" x14ac:dyDescent="0.2">
      <c r="B94" s="14"/>
      <c r="C94" s="141"/>
      <c r="D94" s="141"/>
      <c r="E94" s="141"/>
      <c r="F94" s="6"/>
      <c r="G94" s="6"/>
      <c r="H94" s="6"/>
      <c r="I94" s="6"/>
      <c r="J94" s="6"/>
      <c r="K94" s="6"/>
      <c r="L94" s="6"/>
      <c r="M94" s="6"/>
      <c r="N94" s="6"/>
      <c r="O94" s="6"/>
      <c r="P94" s="6"/>
      <c r="Q94" s="6"/>
      <c r="R94" s="6"/>
      <c r="S94" s="6"/>
    </row>
    <row r="95" spans="2:19" x14ac:dyDescent="0.2">
      <c r="B95" s="14"/>
      <c r="C95" s="141"/>
      <c r="D95" s="141"/>
      <c r="E95" s="141"/>
      <c r="F95" s="6"/>
      <c r="G95" s="6"/>
      <c r="H95" s="6"/>
      <c r="I95" s="6"/>
      <c r="J95" s="6"/>
      <c r="K95" s="6"/>
      <c r="L95" s="6"/>
      <c r="M95" s="6"/>
      <c r="N95" s="6"/>
      <c r="O95" s="6"/>
      <c r="P95" s="6"/>
      <c r="Q95" s="6"/>
      <c r="R95" s="6"/>
      <c r="S95" s="6"/>
    </row>
    <row r="96" spans="2:19" x14ac:dyDescent="0.2">
      <c r="B96" s="14"/>
      <c r="C96" s="59"/>
      <c r="D96" s="59"/>
      <c r="E96" s="59"/>
      <c r="F96" s="6"/>
      <c r="G96" s="6"/>
      <c r="H96" s="6"/>
      <c r="I96" s="6"/>
      <c r="J96" s="6"/>
      <c r="K96" s="6"/>
      <c r="L96" s="6"/>
      <c r="M96" s="6"/>
      <c r="N96" s="6"/>
      <c r="O96" s="6"/>
      <c r="P96" s="6"/>
      <c r="Q96" s="6"/>
      <c r="R96" s="6"/>
      <c r="S96" s="6"/>
    </row>
    <row r="97" spans="2:19" x14ac:dyDescent="0.2">
      <c r="B97" s="84" t="s">
        <v>184</v>
      </c>
      <c r="C97" s="59"/>
      <c r="D97" s="59"/>
      <c r="E97" s="59"/>
      <c r="F97" s="6"/>
      <c r="G97" s="6"/>
      <c r="H97" s="6"/>
      <c r="I97" s="6"/>
      <c r="J97" s="6"/>
      <c r="K97" s="6"/>
      <c r="L97" s="6"/>
      <c r="M97" s="6"/>
      <c r="N97" s="6"/>
      <c r="O97" s="6"/>
      <c r="P97" s="6"/>
      <c r="Q97" s="6"/>
      <c r="R97" s="6"/>
      <c r="S97" s="6"/>
    </row>
    <row r="98" spans="2:19" x14ac:dyDescent="0.2">
      <c r="B98" s="73" t="s">
        <v>20</v>
      </c>
      <c r="C98" s="14"/>
      <c r="D98" s="14"/>
      <c r="E98" s="14"/>
      <c r="F98" s="6"/>
      <c r="G98" s="6"/>
      <c r="H98" s="6"/>
      <c r="I98" s="6"/>
      <c r="J98" s="6"/>
      <c r="K98" s="6"/>
      <c r="L98" s="6"/>
      <c r="M98" s="6"/>
      <c r="N98" s="6"/>
      <c r="O98" s="6"/>
      <c r="P98" s="6"/>
      <c r="Q98" s="6"/>
      <c r="R98" s="6"/>
      <c r="S98" s="6"/>
    </row>
    <row r="99" spans="2:19" x14ac:dyDescent="0.2">
      <c r="B99" s="14"/>
      <c r="C99" s="141" t="s">
        <v>134</v>
      </c>
      <c r="D99" s="141"/>
      <c r="E99" s="141"/>
      <c r="F99" s="6"/>
      <c r="G99" s="6"/>
      <c r="H99" s="6"/>
      <c r="I99" s="6"/>
      <c r="J99" s="6"/>
      <c r="K99" s="6"/>
      <c r="L99" s="6"/>
      <c r="M99" s="6"/>
      <c r="N99" s="6"/>
      <c r="O99" s="6"/>
      <c r="P99" s="6"/>
      <c r="Q99" s="6"/>
      <c r="R99" s="6"/>
      <c r="S99" s="6"/>
    </row>
    <row r="100" spans="2:19" x14ac:dyDescent="0.2">
      <c r="B100" s="14"/>
      <c r="C100" s="141"/>
      <c r="D100" s="141"/>
      <c r="E100" s="141"/>
      <c r="F100" s="6"/>
      <c r="G100" s="6"/>
      <c r="H100" s="6"/>
      <c r="I100" s="6"/>
      <c r="J100" s="6"/>
      <c r="K100" s="6"/>
      <c r="L100" s="6"/>
      <c r="M100" s="6"/>
      <c r="N100" s="6"/>
      <c r="O100" s="6"/>
      <c r="P100" s="6"/>
      <c r="Q100" s="6"/>
      <c r="R100" s="6"/>
      <c r="S100" s="6"/>
    </row>
    <row r="101" spans="2:19" x14ac:dyDescent="0.2">
      <c r="B101" s="14"/>
      <c r="C101" s="14"/>
      <c r="D101" s="14"/>
      <c r="E101" s="14"/>
      <c r="F101" s="6"/>
      <c r="G101" s="6"/>
      <c r="H101" s="6"/>
      <c r="I101" s="6"/>
      <c r="J101" s="6"/>
      <c r="K101" s="6"/>
      <c r="L101" s="6"/>
      <c r="M101" s="6"/>
      <c r="N101" s="6"/>
      <c r="O101" s="6"/>
      <c r="P101" s="6"/>
      <c r="Q101" s="6"/>
      <c r="R101" s="6"/>
      <c r="S101" s="6"/>
    </row>
    <row r="102" spans="2:19" x14ac:dyDescent="0.2">
      <c r="B102" s="84" t="s">
        <v>223</v>
      </c>
      <c r="C102" s="6"/>
      <c r="D102" s="6"/>
      <c r="E102" s="6"/>
      <c r="F102" s="6"/>
      <c r="G102" s="6"/>
      <c r="H102" s="6"/>
      <c r="I102" s="6"/>
      <c r="J102" s="6"/>
      <c r="K102" s="6"/>
      <c r="L102" s="6"/>
      <c r="M102" s="6"/>
      <c r="N102" s="6"/>
      <c r="O102" s="6"/>
      <c r="P102" s="6"/>
      <c r="Q102" s="6"/>
      <c r="R102" s="6"/>
      <c r="S102" s="6"/>
    </row>
    <row r="103" spans="2:19" x14ac:dyDescent="0.2">
      <c r="B103" s="6"/>
      <c r="C103" s="6"/>
      <c r="D103" s="6"/>
      <c r="E103" s="6"/>
      <c r="F103" s="6"/>
      <c r="G103" s="6"/>
      <c r="H103" s="6"/>
      <c r="I103" s="6"/>
      <c r="J103" s="6"/>
      <c r="K103" s="6"/>
      <c r="L103" s="6"/>
      <c r="M103" s="6"/>
      <c r="N103" s="6"/>
      <c r="O103" s="6"/>
      <c r="P103" s="6"/>
      <c r="Q103" s="6"/>
      <c r="R103" s="6"/>
      <c r="S103" s="6"/>
    </row>
    <row r="104" spans="2:19" x14ac:dyDescent="0.2">
      <c r="B104" s="87" t="s">
        <v>224</v>
      </c>
      <c r="C104" s="88"/>
      <c r="D104" s="89"/>
      <c r="E104" s="92" t="s">
        <v>225</v>
      </c>
      <c r="F104" s="6"/>
      <c r="G104" s="6"/>
      <c r="H104" s="6"/>
      <c r="I104" s="6"/>
      <c r="J104" s="6"/>
      <c r="K104" s="6"/>
      <c r="L104" s="6"/>
      <c r="R104" s="6"/>
    </row>
    <row r="105" spans="2:19" x14ac:dyDescent="0.2">
      <c r="B105" s="153" t="s">
        <v>226</v>
      </c>
      <c r="C105" s="153"/>
      <c r="D105" s="154"/>
      <c r="E105" s="93" t="s">
        <v>235</v>
      </c>
      <c r="F105" s="6"/>
      <c r="G105" s="6"/>
      <c r="H105" s="6"/>
      <c r="I105" s="6"/>
      <c r="J105" s="6"/>
      <c r="K105" s="6"/>
      <c r="L105" s="6"/>
      <c r="R105" s="6"/>
    </row>
    <row r="106" spans="2:19" x14ac:dyDescent="0.2">
      <c r="B106" s="155"/>
      <c r="C106" s="155"/>
      <c r="D106" s="156"/>
      <c r="E106" s="94"/>
      <c r="F106" s="6"/>
      <c r="G106" s="6"/>
      <c r="H106" s="6"/>
      <c r="I106" s="6"/>
      <c r="J106" s="6"/>
      <c r="K106" s="6"/>
      <c r="L106" s="6"/>
      <c r="R106" s="6"/>
    </row>
    <row r="107" spans="2:19" x14ac:dyDescent="0.2">
      <c r="B107" s="151" t="s">
        <v>227</v>
      </c>
      <c r="C107" s="151"/>
      <c r="D107" s="152"/>
      <c r="E107" s="94" t="s">
        <v>236</v>
      </c>
      <c r="F107" s="6"/>
      <c r="G107" s="6"/>
      <c r="H107" s="6"/>
      <c r="I107" s="6"/>
      <c r="J107" s="6"/>
      <c r="K107" s="6"/>
      <c r="L107" s="6"/>
      <c r="R107" s="6"/>
    </row>
    <row r="108" spans="2:19" x14ac:dyDescent="0.2">
      <c r="B108" s="151"/>
      <c r="C108" s="151"/>
      <c r="D108" s="152"/>
      <c r="E108" s="94"/>
    </row>
    <row r="109" spans="2:19" x14ac:dyDescent="0.2">
      <c r="B109" s="90" t="s">
        <v>228</v>
      </c>
      <c r="C109" s="86"/>
      <c r="D109" s="91"/>
      <c r="E109" s="94" t="s">
        <v>237</v>
      </c>
    </row>
    <row r="110" spans="2:19" x14ac:dyDescent="0.2">
      <c r="B110" s="90" t="s">
        <v>229</v>
      </c>
      <c r="C110" s="86"/>
      <c r="D110" s="91"/>
      <c r="E110" s="94" t="s">
        <v>234</v>
      </c>
    </row>
    <row r="111" spans="2:19" x14ac:dyDescent="0.2">
      <c r="B111" s="90" t="s">
        <v>230</v>
      </c>
      <c r="C111" s="86"/>
      <c r="D111" s="91"/>
      <c r="E111" s="94" t="s">
        <v>238</v>
      </c>
    </row>
    <row r="112" spans="2:19" x14ac:dyDescent="0.2">
      <c r="B112" s="90" t="s">
        <v>231</v>
      </c>
      <c r="C112" s="86"/>
      <c r="D112" s="91"/>
      <c r="E112" s="94" t="s">
        <v>239</v>
      </c>
    </row>
    <row r="113" spans="2:5" x14ac:dyDescent="0.2">
      <c r="B113" s="90" t="s">
        <v>232</v>
      </c>
      <c r="C113" s="86"/>
      <c r="D113" s="91"/>
      <c r="E113" s="94" t="s">
        <v>241</v>
      </c>
    </row>
    <row r="114" spans="2:5" x14ac:dyDescent="0.2">
      <c r="B114" s="90" t="s">
        <v>233</v>
      </c>
      <c r="C114" s="86"/>
      <c r="D114" s="91"/>
      <c r="E114" s="94" t="s">
        <v>240</v>
      </c>
    </row>
  </sheetData>
  <mergeCells count="54">
    <mergeCell ref="B107:D108"/>
    <mergeCell ref="B105:D106"/>
    <mergeCell ref="C99:E100"/>
    <mergeCell ref="C76:E77"/>
    <mergeCell ref="C88:E90"/>
    <mergeCell ref="B2:Q2"/>
    <mergeCell ref="C12:E13"/>
    <mergeCell ref="M8:Q8"/>
    <mergeCell ref="N3:O3"/>
    <mergeCell ref="C44:E48"/>
    <mergeCell ref="G8:K8"/>
    <mergeCell ref="H12:K14"/>
    <mergeCell ref="H16:K18"/>
    <mergeCell ref="H20:K22"/>
    <mergeCell ref="H24:K24"/>
    <mergeCell ref="N11:Q14"/>
    <mergeCell ref="N16:Q19"/>
    <mergeCell ref="N21:Q23"/>
    <mergeCell ref="H29:K31"/>
    <mergeCell ref="H33:K34"/>
    <mergeCell ref="G43:H43"/>
    <mergeCell ref="H26:K27"/>
    <mergeCell ref="B8:E8"/>
    <mergeCell ref="C15:E16"/>
    <mergeCell ref="C18:E20"/>
    <mergeCell ref="C22:E24"/>
    <mergeCell ref="C26:E27"/>
    <mergeCell ref="C39:E42"/>
    <mergeCell ref="C29:E31"/>
    <mergeCell ref="C35:E37"/>
    <mergeCell ref="H36:K38"/>
    <mergeCell ref="H40:K42"/>
    <mergeCell ref="H65:K65"/>
    <mergeCell ref="H45:K47"/>
    <mergeCell ref="H49:K50"/>
    <mergeCell ref="H52:K53"/>
    <mergeCell ref="H55:K56"/>
    <mergeCell ref="H58:K60"/>
    <mergeCell ref="B4:Q6"/>
    <mergeCell ref="C50:E54"/>
    <mergeCell ref="C92:E95"/>
    <mergeCell ref="H80:K81"/>
    <mergeCell ref="H83:K85"/>
    <mergeCell ref="H87:K90"/>
    <mergeCell ref="C79:E80"/>
    <mergeCell ref="C82:E84"/>
    <mergeCell ref="C56:E61"/>
    <mergeCell ref="C65:E67"/>
    <mergeCell ref="C73:E74"/>
    <mergeCell ref="H76:K78"/>
    <mergeCell ref="C69:E71"/>
    <mergeCell ref="H72:K74"/>
    <mergeCell ref="G68:K70"/>
    <mergeCell ref="H62:K6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AG518"/>
  <sheetViews>
    <sheetView topLeftCell="A328" zoomScale="70" zoomScaleNormal="70" workbookViewId="0">
      <selection activeCell="K10" sqref="K10:K363"/>
    </sheetView>
  </sheetViews>
  <sheetFormatPr baseColWidth="10" defaultColWidth="9.19921875" defaultRowHeight="16" x14ac:dyDescent="0.2"/>
  <cols>
    <col min="1" max="1" width="8.19921875" style="2" customWidth="1"/>
    <col min="2" max="2" width="10.796875" style="2" customWidth="1"/>
    <col min="3" max="3" width="23.19921875" style="2" customWidth="1"/>
    <col min="4" max="4" width="15.3984375" style="2" customWidth="1"/>
    <col min="5" max="5" width="13.796875" style="2" customWidth="1"/>
    <col min="6" max="6" width="20.59765625" style="2" customWidth="1"/>
    <col min="7" max="7" width="15.19921875" style="2" customWidth="1"/>
    <col min="8" max="8" width="14.19921875" style="2" customWidth="1"/>
    <col min="9" max="9" width="16" style="2" customWidth="1"/>
    <col min="10" max="10" width="16.19921875" style="2" customWidth="1"/>
    <col min="11" max="11" width="13.19921875" style="2" customWidth="1"/>
    <col min="12" max="12" width="16" style="2" customWidth="1"/>
    <col min="13" max="15" width="17.796875" style="2" customWidth="1"/>
    <col min="16" max="16" width="19.59765625" style="2" customWidth="1"/>
    <col min="17" max="17" width="21" style="2" customWidth="1"/>
    <col min="18" max="18" width="18" style="2" customWidth="1"/>
    <col min="19" max="19" width="22.796875" style="2" customWidth="1"/>
    <col min="20" max="20" width="16.796875" style="2" customWidth="1"/>
    <col min="21" max="22" width="16.59765625" style="2" customWidth="1"/>
    <col min="23" max="23" width="16.796875" style="2" customWidth="1"/>
    <col min="24" max="24" width="8.3984375" style="2" customWidth="1"/>
    <col min="25" max="25" width="12.59765625" style="2" customWidth="1"/>
    <col min="26" max="26" width="24.19921875" style="2" customWidth="1"/>
    <col min="27" max="27" width="14.19921875" style="2" customWidth="1"/>
    <col min="28" max="28" width="14.796875" style="2" customWidth="1"/>
    <col min="29" max="29" width="13.19921875" style="2" customWidth="1"/>
    <col min="30" max="30" width="8" style="2" customWidth="1"/>
    <col min="31" max="31" width="14" style="2" customWidth="1"/>
    <col min="32" max="16384" width="9.19921875" style="2"/>
  </cols>
  <sheetData>
    <row r="1" spans="1:33" x14ac:dyDescent="0.2">
      <c r="AA1" s="158" t="s">
        <v>191</v>
      </c>
      <c r="AB1" s="158"/>
      <c r="AC1" s="158"/>
      <c r="AD1" s="24"/>
      <c r="AE1" s="52" t="s">
        <v>192</v>
      </c>
      <c r="AF1" s="53"/>
      <c r="AG1" s="53"/>
    </row>
    <row r="2" spans="1:33" x14ac:dyDescent="0.2">
      <c r="C2" s="2" t="s">
        <v>76</v>
      </c>
      <c r="N2" s="7"/>
      <c r="O2" s="7"/>
      <c r="P2" s="2">
        <f>'Edistynyt vuokratuottolaskuri'!C6+('Edistynyt vuokratuottolaskuri'!C6*0.02)+'Edistynyt vuokratuottolaskuri'!C46+'Edistynyt vuokratuottolaskuri'!C47</f>
        <v>78440</v>
      </c>
      <c r="AA2" s="29" t="s">
        <v>83</v>
      </c>
      <c r="AB2" s="24" t="s">
        <v>107</v>
      </c>
      <c r="AC2" s="24" t="s">
        <v>107</v>
      </c>
      <c r="AE2" s="29" t="s">
        <v>83</v>
      </c>
      <c r="AF2" s="24" t="s">
        <v>107</v>
      </c>
    </row>
    <row r="3" spans="1:33" x14ac:dyDescent="0.2">
      <c r="C3" s="7" t="s">
        <v>78</v>
      </c>
      <c r="D3" s="7"/>
      <c r="E3" s="7"/>
      <c r="F3" s="7"/>
      <c r="G3" s="7"/>
      <c r="H3" s="7"/>
      <c r="I3" s="7"/>
      <c r="J3" s="7"/>
      <c r="K3" s="7"/>
      <c r="L3" s="7"/>
      <c r="M3" s="7"/>
      <c r="N3" s="7"/>
      <c r="O3" s="7"/>
      <c r="P3" s="2">
        <f>'Edistynyt vuokratuottolaskuri'!C6+'Edistynyt vuokratuottolaskuri'!C46</f>
        <v>77000</v>
      </c>
      <c r="AA3" s="26" t="s">
        <v>81</v>
      </c>
      <c r="AB3" s="24" t="s">
        <v>108</v>
      </c>
      <c r="AC3" s="24" t="s">
        <v>108</v>
      </c>
      <c r="AE3" s="26" t="s">
        <v>81</v>
      </c>
      <c r="AF3" s="24" t="s">
        <v>108</v>
      </c>
    </row>
    <row r="4" spans="1:33" x14ac:dyDescent="0.2">
      <c r="C4" s="2" t="s">
        <v>34</v>
      </c>
      <c r="G4" s="2">
        <f>'Edistynyt vuokratuottolaskuri'!C34*12</f>
        <v>240</v>
      </c>
      <c r="AA4" s="26" t="s">
        <v>82</v>
      </c>
      <c r="AB4" s="24" t="s">
        <v>113</v>
      </c>
      <c r="AC4" s="24"/>
      <c r="AE4" s="26" t="s">
        <v>82</v>
      </c>
      <c r="AF4" s="24"/>
    </row>
    <row r="6" spans="1:33" x14ac:dyDescent="0.2">
      <c r="C6" s="157" t="s">
        <v>73</v>
      </c>
      <c r="D6" s="157"/>
      <c r="E6" s="157"/>
      <c r="F6" s="157"/>
      <c r="G6" s="157"/>
      <c r="H6" s="157"/>
      <c r="I6" s="157"/>
      <c r="J6" s="157"/>
      <c r="K6" s="157"/>
      <c r="L6" s="157"/>
      <c r="M6" s="157"/>
      <c r="N6" s="46"/>
      <c r="O6" s="46"/>
    </row>
    <row r="8" spans="1:33" x14ac:dyDescent="0.2">
      <c r="A8" s="65"/>
      <c r="B8" s="65" t="s">
        <v>35</v>
      </c>
      <c r="C8" s="65" t="s">
        <v>32</v>
      </c>
      <c r="D8" s="65" t="s">
        <v>163</v>
      </c>
      <c r="E8" s="65" t="s">
        <v>162</v>
      </c>
      <c r="F8" s="65" t="s">
        <v>161</v>
      </c>
      <c r="G8" s="65" t="s">
        <v>8</v>
      </c>
      <c r="H8" s="65" t="s">
        <v>171</v>
      </c>
      <c r="I8" s="65" t="s">
        <v>172</v>
      </c>
      <c r="J8" s="65" t="s">
        <v>173</v>
      </c>
      <c r="K8" s="65" t="s">
        <v>174</v>
      </c>
      <c r="L8" s="65" t="s">
        <v>212</v>
      </c>
      <c r="M8" s="65" t="s">
        <v>72</v>
      </c>
      <c r="N8" s="65" t="s">
        <v>114</v>
      </c>
      <c r="O8" s="65" t="s">
        <v>116</v>
      </c>
      <c r="P8" s="65" t="s">
        <v>112</v>
      </c>
      <c r="Q8" s="65" t="s">
        <v>110</v>
      </c>
      <c r="R8" s="65" t="s">
        <v>216</v>
      </c>
      <c r="S8" s="65" t="s">
        <v>217</v>
      </c>
      <c r="T8" s="65" t="s">
        <v>219</v>
      </c>
      <c r="U8" s="65" t="s">
        <v>215</v>
      </c>
      <c r="V8" s="65" t="s">
        <v>220</v>
      </c>
      <c r="W8" s="65" t="s">
        <v>111</v>
      </c>
    </row>
    <row r="9" spans="1:33" x14ac:dyDescent="0.2">
      <c r="B9" s="2">
        <v>1</v>
      </c>
      <c r="C9" s="15">
        <f>$P$3</f>
        <v>77000</v>
      </c>
      <c r="D9" s="15">
        <f>'Edistynyt vuokratuottolaskuri'!C29</f>
        <v>41440</v>
      </c>
      <c r="E9" s="15">
        <f>-PMT(('Edistynyt vuokratuottolaskuri'!$C$33/12),('Edistynyt vuokratuottolaskuri'!$C$34*12),D9,0,0)</f>
        <v>209.63805404269655</v>
      </c>
      <c r="F9" s="15">
        <f>E9-(D9*('Edistynyt vuokratuottolaskuri'!$C$33/12))</f>
        <v>140.57138737602986</v>
      </c>
      <c r="G9" s="15">
        <f>IF(Lyhennystapa="Annuiteetti",(D9-F9),IF(Lyhennystapa="Tasalyhennys",(D9-'Edistynyt vuokratuottolaskuri'!$C$38),IF(Lyhennystapa="Bullet",D9,"")))</f>
        <v>41299.428612623968</v>
      </c>
      <c r="H9" s="15">
        <f>'Edistynyt vuokratuottolaskuri'!C17</f>
        <v>12000</v>
      </c>
      <c r="I9" s="15">
        <f>-PMT(('Edistynyt vuokratuottolaskuri'!$C18/12),('Edistynyt vuokratuottolaskuri'!$C$19*12),H9,0,0)</f>
        <v>110.41614461107285</v>
      </c>
      <c r="J9" s="15">
        <f>I9-(H9*('Edistynyt vuokratuottolaskuri'!$C$18/12))</f>
        <v>90.416144611072852</v>
      </c>
      <c r="K9" s="15">
        <f>IF(H9&gt;0,H9-J9,0)</f>
        <v>11909.583855388928</v>
      </c>
      <c r="L9" s="15">
        <f>K9+G9</f>
        <v>53209.012468012894</v>
      </c>
      <c r="M9" s="15">
        <f>'Edistynyt vuokratuottolaskuri'!$C$6-K9-G9</f>
        <v>18790.987531987106</v>
      </c>
      <c r="N9" s="15"/>
      <c r="O9" s="15">
        <f>-'Edistynyt vuokratuottolaskuri'!$C$10*('Edistynyt vuokratuottolaskuri'!$I$7-'Edistynyt vuokratuottolaskuri'!$I$17)/12</f>
        <v>0</v>
      </c>
      <c r="P9" s="15">
        <f>'Edistynyt vuokratuottolaskuri'!I19+O9</f>
        <v>31.290644729552469</v>
      </c>
      <c r="W9" s="15">
        <f>P9</f>
        <v>31.290644729552469</v>
      </c>
    </row>
    <row r="10" spans="1:33" x14ac:dyDescent="0.2">
      <c r="B10" s="2">
        <v>2</v>
      </c>
      <c r="C10" s="15">
        <f t="shared" ref="C10:C20" si="0">$P$3</f>
        <v>77000</v>
      </c>
      <c r="D10" s="15">
        <f>G9</f>
        <v>41299.428612623968</v>
      </c>
      <c r="E10" s="15">
        <f>-PMT(('Edistynyt vuokratuottolaskuri'!$C$33/12),('Edistynyt vuokratuottolaskuri'!$C$34*12),('Edistynyt vuokratuottolaskuri'!$C$29+'Edistynyt vuokratuottolaskuri'!$C$35),0,0)</f>
        <v>209.63805404269655</v>
      </c>
      <c r="F10" s="15">
        <f>E10-(D10*('Edistynyt vuokratuottolaskuri'!$C$33/12))</f>
        <v>140.80567302165662</v>
      </c>
      <c r="G10" s="15">
        <f>IF(Lyhennystapa="Annuiteetti",(D10-F10),IF(Lyhennystapa="Tasalyhennys",(D10-'Edistynyt vuokratuottolaskuri'!$C$38),IF(Lyhennystapa="Bullet",D9,"")))</f>
        <v>41158.622939602312</v>
      </c>
      <c r="H10" s="15">
        <f>K9</f>
        <v>11909.583855388928</v>
      </c>
      <c r="I10" s="15">
        <f>-PMT(('Edistynyt vuokratuottolaskuri'!$C$18/12),('Edistynyt vuokratuottolaskuri'!$C$19*12),('Edistynyt vuokratuottolaskuri'!$C$17),0,0)</f>
        <v>110.41614461107285</v>
      </c>
      <c r="J10" s="15">
        <f>I10-(H10*('Edistynyt vuokratuottolaskuri'!$C$18/12))</f>
        <v>90.566838185424643</v>
      </c>
      <c r="K10" s="15">
        <f>IF(K9&gt;0.01,H10-J10,0)</f>
        <v>11819.017017203503</v>
      </c>
      <c r="L10" s="15">
        <f t="shared" ref="L10:L73" si="1">K10+G10</f>
        <v>52977.639956805811</v>
      </c>
      <c r="M10" s="15">
        <f>'Edistynyt vuokratuottolaskuri'!$C$6-K10-G10</f>
        <v>19022.360043194189</v>
      </c>
      <c r="N10" s="15"/>
      <c r="O10" s="15">
        <f>-'Edistynyt vuokratuottolaskuri'!$C$10*('Edistynyt vuokratuottolaskuri'!$I$7-'Edistynyt vuokratuottolaskuri'!$I$17)/12</f>
        <v>0</v>
      </c>
      <c r="P10" s="15">
        <f>P9+'Edistynyt vuokratuottolaskuri'!$I$19+O10</f>
        <v>62.581289459104937</v>
      </c>
      <c r="Q10" s="15">
        <f>IF(P9&gt;0,(P9*('Edistynyt vuokratuottolaskuri'!$F$7/12)),0)</f>
        <v>0.1695375319997425</v>
      </c>
      <c r="R10" s="15"/>
      <c r="S10" s="15"/>
      <c r="T10" s="15"/>
      <c r="U10" s="15"/>
      <c r="V10" s="15"/>
      <c r="W10" s="15">
        <f>W9+'Edistynyt vuokratuottolaskuri'!$I$19+Q10</f>
        <v>62.750826991104681</v>
      </c>
    </row>
    <row r="11" spans="1:33" x14ac:dyDescent="0.2">
      <c r="B11" s="2">
        <v>3</v>
      </c>
      <c r="C11" s="15">
        <f t="shared" si="0"/>
        <v>77000</v>
      </c>
      <c r="D11" s="15">
        <f t="shared" ref="D11:D20" si="2">G10</f>
        <v>41158.622939602312</v>
      </c>
      <c r="E11" s="15">
        <f>-PMT(('Edistynyt vuokratuottolaskuri'!$C$33/12),('Edistynyt vuokratuottolaskuri'!$C$34*12),('Edistynyt vuokratuottolaskuri'!$C$29+'Edistynyt vuokratuottolaskuri'!$C$35),0,0)</f>
        <v>209.63805404269655</v>
      </c>
      <c r="F11" s="15">
        <f>E11-(D11*('Edistynyt vuokratuottolaskuri'!$C$33/12))</f>
        <v>141.04034914335938</v>
      </c>
      <c r="G11" s="15">
        <f>IF(Lyhennystapa="Annuiteetti",(D11-F11),IF(Lyhennystapa="Tasalyhennys",(D11-'Edistynyt vuokratuottolaskuri'!$C$38),IF(Lyhennystapa="Bullet",D10,"")))</f>
        <v>41017.582590458951</v>
      </c>
      <c r="H11" s="15">
        <f t="shared" ref="H11:H17" si="3">K10</f>
        <v>11819.017017203503</v>
      </c>
      <c r="I11" s="15">
        <f>-PMT(('Edistynyt vuokratuottolaskuri'!$C$18/12),('Edistynyt vuokratuottolaskuri'!$C$19*12),('Edistynyt vuokratuottolaskuri'!$C$17),0,0)</f>
        <v>110.41614461107285</v>
      </c>
      <c r="J11" s="15">
        <f>I11-(H11*('Edistynyt vuokratuottolaskuri'!$C$18/12))</f>
        <v>90.717782915733679</v>
      </c>
      <c r="K11" s="15">
        <f t="shared" ref="K11:K74" si="4">IF(K10&gt;0.01,H11-J11,0)</f>
        <v>11728.29923428777</v>
      </c>
      <c r="L11" s="15">
        <f t="shared" si="1"/>
        <v>52745.881824746721</v>
      </c>
      <c r="M11" s="15">
        <f>'Edistynyt vuokratuottolaskuri'!$C$6-K11-G11</f>
        <v>19254.118175253279</v>
      </c>
      <c r="N11" s="15"/>
      <c r="O11" s="15">
        <f>-'Edistynyt vuokratuottolaskuri'!$C$10*('Edistynyt vuokratuottolaskuri'!$I$7-'Edistynyt vuokratuottolaskuri'!$I$17)/12</f>
        <v>0</v>
      </c>
      <c r="P11" s="15">
        <f>P10+'Edistynyt vuokratuottolaskuri'!$I$19+O11</f>
        <v>93.871934188657406</v>
      </c>
      <c r="Q11" s="15">
        <f>IF(P10&gt;0,(P10*('Edistynyt vuokratuottolaskuri'!$F$7/12)),0)</f>
        <v>0.339075063999485</v>
      </c>
      <c r="R11" s="15"/>
      <c r="S11" s="15"/>
      <c r="T11" s="15"/>
      <c r="U11" s="15"/>
      <c r="V11" s="15"/>
      <c r="W11" s="15">
        <f>W10+'Edistynyt vuokratuottolaskuri'!$I$19+Q11</f>
        <v>94.38054678465663</v>
      </c>
    </row>
    <row r="12" spans="1:33" x14ac:dyDescent="0.2">
      <c r="B12" s="2">
        <v>4</v>
      </c>
      <c r="C12" s="15">
        <f t="shared" si="0"/>
        <v>77000</v>
      </c>
      <c r="D12" s="15">
        <f t="shared" si="2"/>
        <v>41017.582590458951</v>
      </c>
      <c r="E12" s="15">
        <f>-PMT(('Edistynyt vuokratuottolaskuri'!$C$33/12),('Edistynyt vuokratuottolaskuri'!$C$34*12),('Edistynyt vuokratuottolaskuri'!$C$29+'Edistynyt vuokratuottolaskuri'!$C$35),0,0)</f>
        <v>209.63805404269655</v>
      </c>
      <c r="F12" s="15">
        <f>E12-(D12*('Edistynyt vuokratuottolaskuri'!$C$33/12))</f>
        <v>141.27541639193163</v>
      </c>
      <c r="G12" s="15">
        <f>IF(Lyhennystapa="Annuiteetti",(D12-F12),IF(Lyhennystapa="Tasalyhennys",(D12-'Edistynyt vuokratuottolaskuri'!$C$38),IF(Lyhennystapa="Bullet",D11,"")))</f>
        <v>40876.30717406702</v>
      </c>
      <c r="H12" s="15">
        <f t="shared" si="3"/>
        <v>11728.29923428777</v>
      </c>
      <c r="I12" s="15">
        <f>-PMT(('Edistynyt vuokratuottolaskuri'!$C$18/12),('Edistynyt vuokratuottolaskuri'!$C$19*12),('Edistynyt vuokratuottolaskuri'!$C$17),0,0)</f>
        <v>110.41614461107285</v>
      </c>
      <c r="J12" s="15">
        <f>I12-(H12*('Edistynyt vuokratuottolaskuri'!$C$18/12))</f>
        <v>90.868979220593232</v>
      </c>
      <c r="K12" s="15">
        <f t="shared" si="4"/>
        <v>11637.430255067176</v>
      </c>
      <c r="L12" s="15">
        <f t="shared" si="1"/>
        <v>52513.737429134198</v>
      </c>
      <c r="M12" s="15">
        <f>'Edistynyt vuokratuottolaskuri'!$C$6-K12-G12</f>
        <v>19486.262570865802</v>
      </c>
      <c r="N12" s="15"/>
      <c r="O12" s="15">
        <f>-'Edistynyt vuokratuottolaskuri'!$C$10*('Edistynyt vuokratuottolaskuri'!$I$7-'Edistynyt vuokratuottolaskuri'!$I$17)/12</f>
        <v>0</v>
      </c>
      <c r="P12" s="15">
        <f>P11+'Edistynyt vuokratuottolaskuri'!$I$19+O12</f>
        <v>125.16257891820987</v>
      </c>
      <c r="Q12" s="15">
        <f>IF(P11&gt;0,(P11*('Edistynyt vuokratuottolaskuri'!$F$7/12)),0)</f>
        <v>0.50861259599922748</v>
      </c>
      <c r="R12" s="15"/>
      <c r="S12" s="15"/>
      <c r="T12" s="15"/>
      <c r="U12" s="15"/>
      <c r="V12" s="15"/>
      <c r="W12" s="15">
        <f>W11+'Edistynyt vuokratuottolaskuri'!$I$19+Q12</f>
        <v>126.17980411020832</v>
      </c>
    </row>
    <row r="13" spans="1:33" x14ac:dyDescent="0.2">
      <c r="B13" s="2">
        <v>5</v>
      </c>
      <c r="C13" s="15">
        <f t="shared" si="0"/>
        <v>77000</v>
      </c>
      <c r="D13" s="15">
        <f t="shared" si="2"/>
        <v>40876.30717406702</v>
      </c>
      <c r="E13" s="15">
        <f>-PMT(('Edistynyt vuokratuottolaskuri'!$C$33/12),('Edistynyt vuokratuottolaskuri'!$C$34*12),('Edistynyt vuokratuottolaskuri'!$C$29+'Edistynyt vuokratuottolaskuri'!$C$35),0,0)</f>
        <v>209.63805404269655</v>
      </c>
      <c r="F13" s="15">
        <f>E13-(D13*('Edistynyt vuokratuottolaskuri'!$C$33/12))</f>
        <v>141.51087541925153</v>
      </c>
      <c r="G13" s="15">
        <f>IF(Lyhennystapa="Annuiteetti",(D13-F13),IF(Lyhennystapa="Tasalyhennys",(D13-'Edistynyt vuokratuottolaskuri'!$C$38),IF(Lyhennystapa="Bullet",D12,"")))</f>
        <v>40734.796298647765</v>
      </c>
      <c r="H13" s="15">
        <f t="shared" si="3"/>
        <v>11637.430255067176</v>
      </c>
      <c r="I13" s="15">
        <f>-PMT(('Edistynyt vuokratuottolaskuri'!$C$18/12),('Edistynyt vuokratuottolaskuri'!$C$19*12),('Edistynyt vuokratuottolaskuri'!$C$17),0,0)</f>
        <v>110.41614461107285</v>
      </c>
      <c r="J13" s="15">
        <f>I13-(H13*('Edistynyt vuokratuottolaskuri'!$C$18/12))</f>
        <v>91.02042751929423</v>
      </c>
      <c r="K13" s="15">
        <f t="shared" si="4"/>
        <v>11546.409827547883</v>
      </c>
      <c r="L13" s="15">
        <f t="shared" si="1"/>
        <v>52281.206126195648</v>
      </c>
      <c r="M13" s="15">
        <f>'Edistynyt vuokratuottolaskuri'!$C$6-K13-G13</f>
        <v>19718.793873804352</v>
      </c>
      <c r="N13" s="15"/>
      <c r="O13" s="15">
        <f>-'Edistynyt vuokratuottolaskuri'!$C$10*('Edistynyt vuokratuottolaskuri'!$I$7-'Edistynyt vuokratuottolaskuri'!$I$17)/12</f>
        <v>0</v>
      </c>
      <c r="P13" s="15">
        <f>P12+'Edistynyt vuokratuottolaskuri'!$I$19+O13</f>
        <v>156.45322364776234</v>
      </c>
      <c r="Q13" s="15">
        <f>IF(P12&gt;0,(P12*('Edistynyt vuokratuottolaskuri'!$F$7/12)),0)</f>
        <v>0.67815012799897001</v>
      </c>
      <c r="R13" s="15"/>
      <c r="S13" s="15"/>
      <c r="T13" s="15"/>
      <c r="U13" s="15"/>
      <c r="V13" s="15"/>
      <c r="W13" s="15">
        <f>W12+'Edistynyt vuokratuottolaskuri'!$I$19+Q13+N13</f>
        <v>158.14859896775977</v>
      </c>
    </row>
    <row r="14" spans="1:33" x14ac:dyDescent="0.2">
      <c r="B14" s="2">
        <v>6</v>
      </c>
      <c r="C14" s="15">
        <f t="shared" si="0"/>
        <v>77000</v>
      </c>
      <c r="D14" s="15">
        <f t="shared" si="2"/>
        <v>40734.796298647765</v>
      </c>
      <c r="E14" s="15">
        <f>-PMT(('Edistynyt vuokratuottolaskuri'!$C$33/12),('Edistynyt vuokratuottolaskuri'!$C$34*12),('Edistynyt vuokratuottolaskuri'!$C$29+'Edistynyt vuokratuottolaskuri'!$C$35),0,0)</f>
        <v>209.63805404269655</v>
      </c>
      <c r="F14" s="15">
        <f>E14-(D14*('Edistynyt vuokratuottolaskuri'!$C$33/12))</f>
        <v>141.7467268782836</v>
      </c>
      <c r="G14" s="15">
        <f>IF(Lyhennystapa="Annuiteetti",(D14-F14),IF(Lyhennystapa="Tasalyhennys",(D14-'Edistynyt vuokratuottolaskuri'!$C$38),IF(Lyhennystapa="Bullet",D13,"")))</f>
        <v>40593.049571769479</v>
      </c>
      <c r="H14" s="15">
        <f t="shared" si="3"/>
        <v>11546.409827547883</v>
      </c>
      <c r="I14" s="15">
        <f>-PMT(('Edistynyt vuokratuottolaskuri'!$C$18/12),('Edistynyt vuokratuottolaskuri'!$C$19*12),('Edistynyt vuokratuottolaskuri'!$C$17),0,0)</f>
        <v>110.41614461107285</v>
      </c>
      <c r="J14" s="15">
        <f>I14-(H14*('Edistynyt vuokratuottolaskuri'!$C$18/12))</f>
        <v>91.172128231826377</v>
      </c>
      <c r="K14" s="15">
        <f t="shared" si="4"/>
        <v>11455.237699316056</v>
      </c>
      <c r="L14" s="15">
        <f t="shared" si="1"/>
        <v>52048.287271085537</v>
      </c>
      <c r="M14" s="15">
        <f>'Edistynyt vuokratuottolaskuri'!$C$6-K14-G14</f>
        <v>19951.712728914463</v>
      </c>
      <c r="N14" s="15"/>
      <c r="O14" s="15">
        <f>-'Edistynyt vuokratuottolaskuri'!$C$10*('Edistynyt vuokratuottolaskuri'!$I$7-'Edistynyt vuokratuottolaskuri'!$I$17)/12</f>
        <v>0</v>
      </c>
      <c r="P14" s="15">
        <f>P13+'Edistynyt vuokratuottolaskuri'!$I$19+O14</f>
        <v>187.74386837731481</v>
      </c>
      <c r="Q14" s="15">
        <f>IF(P13&gt;0,(P13*('Edistynyt vuokratuottolaskuri'!$F$7/12)),0)</f>
        <v>0.84768765999871243</v>
      </c>
      <c r="R14" s="15"/>
      <c r="S14" s="15"/>
      <c r="T14" s="15"/>
      <c r="U14" s="15"/>
      <c r="V14" s="15"/>
      <c r="W14" s="15">
        <f>W13+'Edistynyt vuokratuottolaskuri'!$I$19+Q14+N14</f>
        <v>190.28693135731095</v>
      </c>
    </row>
    <row r="15" spans="1:33" x14ac:dyDescent="0.2">
      <c r="B15" s="2">
        <v>7</v>
      </c>
      <c r="C15" s="15">
        <f t="shared" si="0"/>
        <v>77000</v>
      </c>
      <c r="D15" s="15">
        <f t="shared" si="2"/>
        <v>40593.049571769479</v>
      </c>
      <c r="E15" s="15">
        <f>-PMT(('Edistynyt vuokratuottolaskuri'!$C$33/12),('Edistynyt vuokratuottolaskuri'!$C$34*12),('Edistynyt vuokratuottolaskuri'!$C$29+'Edistynyt vuokratuottolaskuri'!$C$35),0,0)</f>
        <v>209.63805404269655</v>
      </c>
      <c r="F15" s="15">
        <f>E15-(D15*('Edistynyt vuokratuottolaskuri'!$C$33/12))</f>
        <v>141.98297142308076</v>
      </c>
      <c r="G15" s="15">
        <f>IF(Lyhennystapa="Annuiteetti",(D15-F15),IF(Lyhennystapa="Tasalyhennys",(D15-'Edistynyt vuokratuottolaskuri'!$C$38),IF(Lyhennystapa="Bullet",D14,"")))</f>
        <v>40451.066600346399</v>
      </c>
      <c r="H15" s="15">
        <f t="shared" si="3"/>
        <v>11455.237699316056</v>
      </c>
      <c r="I15" s="15">
        <f>-PMT(('Edistynyt vuokratuottolaskuri'!$C$18/12),('Edistynyt vuokratuottolaskuri'!$C$19*12),('Edistynyt vuokratuottolaskuri'!$C$17),0,0)</f>
        <v>110.41614461107285</v>
      </c>
      <c r="J15" s="15">
        <f>I15-(H15*('Edistynyt vuokratuottolaskuri'!$C$18/12))</f>
        <v>91.324081778879417</v>
      </c>
      <c r="K15" s="15">
        <f t="shared" si="4"/>
        <v>11363.913617537177</v>
      </c>
      <c r="L15" s="15">
        <f t="shared" si="1"/>
        <v>51814.980217883574</v>
      </c>
      <c r="M15" s="15">
        <f>'Edistynyt vuokratuottolaskuri'!$C$6-K15-G15</f>
        <v>20185.019782116426</v>
      </c>
      <c r="N15" s="15"/>
      <c r="O15" s="15">
        <f>-'Edistynyt vuokratuottolaskuri'!$C$10*('Edistynyt vuokratuottolaskuri'!$I$7-'Edistynyt vuokratuottolaskuri'!$I$17)/12</f>
        <v>0</v>
      </c>
      <c r="P15" s="15">
        <f>P14+'Edistynyt vuokratuottolaskuri'!$I$19+O15</f>
        <v>219.03451310686728</v>
      </c>
      <c r="Q15" s="15">
        <f>IF(P14&gt;0,(P14*('Edistynyt vuokratuottolaskuri'!$F$7/12)),0)</f>
        <v>1.017225191998455</v>
      </c>
      <c r="R15" s="15"/>
      <c r="S15" s="15"/>
      <c r="T15" s="15"/>
      <c r="U15" s="15"/>
      <c r="V15" s="15"/>
      <c r="W15" s="15">
        <f>W14+'Edistynyt vuokratuottolaskuri'!$I$19+Q15+N15</f>
        <v>222.59480127886187</v>
      </c>
    </row>
    <row r="16" spans="1:33" x14ac:dyDescent="0.2">
      <c r="B16" s="2">
        <v>8</v>
      </c>
      <c r="C16" s="15">
        <f t="shared" si="0"/>
        <v>77000</v>
      </c>
      <c r="D16" s="15">
        <f t="shared" si="2"/>
        <v>40451.066600346399</v>
      </c>
      <c r="E16" s="15">
        <f>-PMT(('Edistynyt vuokratuottolaskuri'!$C$33/12),('Edistynyt vuokratuottolaskuri'!$C$34*12),('Edistynyt vuokratuottolaskuri'!$C$29+'Edistynyt vuokratuottolaskuri'!$C$35),0,0)</f>
        <v>209.63805404269655</v>
      </c>
      <c r="F16" s="15">
        <f>E16-(D16*('Edistynyt vuokratuottolaskuri'!$C$33/12))</f>
        <v>142.21960970878587</v>
      </c>
      <c r="G16" s="15">
        <f>IF(Lyhennystapa="Annuiteetti",(D16-F16),IF(Lyhennystapa="Tasalyhennys",(D16-'Edistynyt vuokratuottolaskuri'!$C$38),IF(Lyhennystapa="Bullet",D15,"")))</f>
        <v>40308.846990637612</v>
      </c>
      <c r="H16" s="15">
        <f t="shared" si="3"/>
        <v>11363.913617537177</v>
      </c>
      <c r="I16" s="15">
        <f>-PMT(('Edistynyt vuokratuottolaskuri'!$C$18/12),('Edistynyt vuokratuottolaskuri'!$C$19*12),('Edistynyt vuokratuottolaskuri'!$C$17),0,0)</f>
        <v>110.41614461107285</v>
      </c>
      <c r="J16" s="15">
        <f>I16-(H16*('Edistynyt vuokratuottolaskuri'!$C$18/12))</f>
        <v>91.476288581844216</v>
      </c>
      <c r="K16" s="15">
        <f t="shared" si="4"/>
        <v>11272.437328955333</v>
      </c>
      <c r="L16" s="15">
        <f t="shared" si="1"/>
        <v>51581.284319592945</v>
      </c>
      <c r="M16" s="15">
        <f>'Edistynyt vuokratuottolaskuri'!$C$6-K16-G16</f>
        <v>20418.715680407055</v>
      </c>
      <c r="N16" s="15"/>
      <c r="O16" s="15">
        <f>-'Edistynyt vuokratuottolaskuri'!$C$10*('Edistynyt vuokratuottolaskuri'!$I$7-'Edistynyt vuokratuottolaskuri'!$I$17)/12</f>
        <v>0</v>
      </c>
      <c r="P16" s="15">
        <f>P15+'Edistynyt vuokratuottolaskuri'!$I$19+O16</f>
        <v>250.32515783641975</v>
      </c>
      <c r="Q16" s="15">
        <f>IF(P15&gt;0,(P15*('Edistynyt vuokratuottolaskuri'!$F$7/12)),0)</f>
        <v>1.1867627239981975</v>
      </c>
      <c r="R16" s="15"/>
      <c r="S16" s="15"/>
      <c r="T16" s="15"/>
      <c r="U16" s="15"/>
      <c r="V16" s="15"/>
      <c r="W16" s="15">
        <f>W15+'Edistynyt vuokratuottolaskuri'!$I$19+Q16+N16</f>
        <v>255.07220873241252</v>
      </c>
    </row>
    <row r="17" spans="1:23" x14ac:dyDescent="0.2">
      <c r="B17" s="2">
        <v>9</v>
      </c>
      <c r="C17" s="15">
        <f t="shared" si="0"/>
        <v>77000</v>
      </c>
      <c r="D17" s="15">
        <f t="shared" si="2"/>
        <v>40308.846990637612</v>
      </c>
      <c r="E17" s="15">
        <f>-PMT(('Edistynyt vuokratuottolaskuri'!$C$33/12),('Edistynyt vuokratuottolaskuri'!$C$34*12),('Edistynyt vuokratuottolaskuri'!$C$29+'Edistynyt vuokratuottolaskuri'!$C$35),0,0)</f>
        <v>209.63805404269655</v>
      </c>
      <c r="F17" s="15">
        <f>E17-(D17*('Edistynyt vuokratuottolaskuri'!$C$33/12))</f>
        <v>142.45664239163386</v>
      </c>
      <c r="G17" s="15">
        <f>IF(Lyhennystapa="Annuiteetti",(D17-F17),IF(Lyhennystapa="Tasalyhennys",(D17-'Edistynyt vuokratuottolaskuri'!$C$38),IF(Lyhennystapa="Bullet",D16,"")))</f>
        <v>40166.390348245979</v>
      </c>
      <c r="H17" s="15">
        <f t="shared" si="3"/>
        <v>11272.437328955333</v>
      </c>
      <c r="I17" s="15">
        <f>-PMT(('Edistynyt vuokratuottolaskuri'!$C$18/12),('Edistynyt vuokratuottolaskuri'!$C$19*12),('Edistynyt vuokratuottolaskuri'!$C$17),0,0)</f>
        <v>110.41614461107285</v>
      </c>
      <c r="J17" s="15">
        <f>I17-(H17*('Edistynyt vuokratuottolaskuri'!$C$18/12))</f>
        <v>91.628749062813966</v>
      </c>
      <c r="K17" s="15">
        <f t="shared" si="4"/>
        <v>11180.808579892519</v>
      </c>
      <c r="L17" s="15">
        <f t="shared" si="1"/>
        <v>51347.198928138496</v>
      </c>
      <c r="M17" s="15">
        <f>'Edistynyt vuokratuottolaskuri'!$C$6-K17-G17</f>
        <v>20652.801071861504</v>
      </c>
      <c r="N17" s="15"/>
      <c r="O17" s="15">
        <f>-'Edistynyt vuokratuottolaskuri'!$C$10*('Edistynyt vuokratuottolaskuri'!$I$7-'Edistynyt vuokratuottolaskuri'!$I$17)/12</f>
        <v>0</v>
      </c>
      <c r="P17" s="15">
        <f>P16+'Edistynyt vuokratuottolaskuri'!$I$19+O17</f>
        <v>281.61580256597222</v>
      </c>
      <c r="Q17" s="15">
        <f>IF(P16&gt;0,(P16*('Edistynyt vuokratuottolaskuri'!$F$7/12)),0)</f>
        <v>1.35630025599794</v>
      </c>
      <c r="R17" s="15"/>
      <c r="S17" s="15"/>
      <c r="T17" s="15"/>
      <c r="U17" s="15"/>
      <c r="V17" s="15"/>
      <c r="W17" s="15">
        <f>W16+'Edistynyt vuokratuottolaskuri'!$I$19+Q17+N17</f>
        <v>287.71915371796291</v>
      </c>
    </row>
    <row r="18" spans="1:23" x14ac:dyDescent="0.2">
      <c r="B18" s="2">
        <v>10</v>
      </c>
      <c r="C18" s="15">
        <f t="shared" si="0"/>
        <v>77000</v>
      </c>
      <c r="D18" s="15">
        <f t="shared" si="2"/>
        <v>40166.390348245979</v>
      </c>
      <c r="E18" s="15">
        <f>-PMT(('Edistynyt vuokratuottolaskuri'!$C$33/12),('Edistynyt vuokratuottolaskuri'!$C$34*12),('Edistynyt vuokratuottolaskuri'!$C$29+'Edistynyt vuokratuottolaskuri'!$C$35),0,0)</f>
        <v>209.63805404269655</v>
      </c>
      <c r="F18" s="15">
        <f>E18-(D18*('Edistynyt vuokratuottolaskuri'!$C$33/12))</f>
        <v>142.69407012895323</v>
      </c>
      <c r="G18" s="15">
        <f>IF(Lyhennystapa="Annuiteetti",(D18-F18),IF(Lyhennystapa="Tasalyhennys",(D18-'Edistynyt vuokratuottolaskuri'!$C$38),IF(Lyhennystapa="Bullet",D17,"")))</f>
        <v>40023.696278117022</v>
      </c>
      <c r="H18" s="15">
        <f t="shared" ref="H18:H81" si="5">K17</f>
        <v>11180.808579892519</v>
      </c>
      <c r="I18" s="15">
        <f>-PMT(('Edistynyt vuokratuottolaskuri'!$C$18/12),('Edistynyt vuokratuottolaskuri'!$C$19*12),('Edistynyt vuokratuottolaskuri'!$C$17),0,0)</f>
        <v>110.41614461107285</v>
      </c>
      <c r="J18" s="15">
        <f>I18-(H18*('Edistynyt vuokratuottolaskuri'!$C$18/12))</f>
        <v>91.781463644585315</v>
      </c>
      <c r="K18" s="15">
        <f t="shared" si="4"/>
        <v>11089.027116247933</v>
      </c>
      <c r="L18" s="15">
        <f t="shared" si="1"/>
        <v>51112.723394364955</v>
      </c>
      <c r="M18" s="15">
        <f>'Edistynyt vuokratuottolaskuri'!$C$6-K18-G18</f>
        <v>20887.276605635045</v>
      </c>
      <c r="N18" s="15"/>
      <c r="O18" s="15">
        <f>-'Edistynyt vuokratuottolaskuri'!$C$10*('Edistynyt vuokratuottolaskuri'!$I$7-'Edistynyt vuokratuottolaskuri'!$I$17)/12</f>
        <v>0</v>
      </c>
      <c r="P18" s="15">
        <f>P17+'Edistynyt vuokratuottolaskuri'!$I$19+O18</f>
        <v>312.90644729552469</v>
      </c>
      <c r="Q18" s="15">
        <f>IF(P17&gt;0,(P17*('Edistynyt vuokratuottolaskuri'!$F$7/12)),0)</f>
        <v>1.5258377879976823</v>
      </c>
      <c r="R18" s="15"/>
      <c r="S18" s="15"/>
      <c r="T18" s="15"/>
      <c r="U18" s="15"/>
      <c r="V18" s="15"/>
      <c r="W18" s="15">
        <f>W17+'Edistynyt vuokratuottolaskuri'!$I$19+Q18+N18</f>
        <v>320.53563623551304</v>
      </c>
    </row>
    <row r="19" spans="1:23" x14ac:dyDescent="0.2">
      <c r="B19" s="2">
        <v>11</v>
      </c>
      <c r="C19" s="15">
        <f t="shared" si="0"/>
        <v>77000</v>
      </c>
      <c r="D19" s="15">
        <f t="shared" si="2"/>
        <v>40023.696278117022</v>
      </c>
      <c r="E19" s="15">
        <f>-PMT(('Edistynyt vuokratuottolaskuri'!$C$33/12),('Edistynyt vuokratuottolaskuri'!$C$34*12),('Edistynyt vuokratuottolaskuri'!$C$29+'Edistynyt vuokratuottolaskuri'!$C$35),0,0)</f>
        <v>209.63805404269655</v>
      </c>
      <c r="F19" s="15">
        <f>E19-(D19*('Edistynyt vuokratuottolaskuri'!$C$33/12))</f>
        <v>142.93189357916816</v>
      </c>
      <c r="G19" s="15">
        <f>IF(Lyhennystapa="Annuiteetti",(D19-F19),IF(Lyhennystapa="Tasalyhennys",(D19-'Edistynyt vuokratuottolaskuri'!$C$38),IF(Lyhennystapa="Bullet",D18,"")))</f>
        <v>39880.764384537855</v>
      </c>
      <c r="H19" s="15">
        <f t="shared" si="5"/>
        <v>11089.027116247933</v>
      </c>
      <c r="I19" s="15">
        <f>-PMT(('Edistynyt vuokratuottolaskuri'!$C$18/12),('Edistynyt vuokratuottolaskuri'!$C$19*12),('Edistynyt vuokratuottolaskuri'!$C$17),0,0)</f>
        <v>110.41614461107285</v>
      </c>
      <c r="J19" s="15">
        <f>I19-(H19*('Edistynyt vuokratuottolaskuri'!$C$18/12))</f>
        <v>91.934432750659624</v>
      </c>
      <c r="K19" s="15">
        <f t="shared" si="4"/>
        <v>10997.092683497274</v>
      </c>
      <c r="L19" s="15">
        <f t="shared" si="1"/>
        <v>50877.857068035126</v>
      </c>
      <c r="M19" s="15">
        <f>'Edistynyt vuokratuottolaskuri'!$C$6-K19-G19</f>
        <v>21122.142931964867</v>
      </c>
      <c r="N19" s="15"/>
      <c r="O19" s="15">
        <f>-'Edistynyt vuokratuottolaskuri'!$C$10*('Edistynyt vuokratuottolaskuri'!$I$7-'Edistynyt vuokratuottolaskuri'!$I$17)/12</f>
        <v>0</v>
      </c>
      <c r="P19" s="15">
        <f>P18+'Edistynyt vuokratuottolaskuri'!$I$19+O19</f>
        <v>344.19709202507715</v>
      </c>
      <c r="Q19" s="15">
        <f>IF(P18&gt;0,(P18*('Edistynyt vuokratuottolaskuri'!$F$7/12)),0)</f>
        <v>1.6953753199974249</v>
      </c>
      <c r="R19" s="15"/>
      <c r="S19" s="15"/>
      <c r="T19" s="15"/>
      <c r="U19" s="15"/>
      <c r="V19" s="15"/>
      <c r="W19" s="15">
        <f>W18+'Edistynyt vuokratuottolaskuri'!$I$19+Q19+N19</f>
        <v>353.52165628506293</v>
      </c>
    </row>
    <row r="20" spans="1:23" x14ac:dyDescent="0.2">
      <c r="B20" s="2">
        <v>12</v>
      </c>
      <c r="C20" s="15">
        <f t="shared" si="0"/>
        <v>77000</v>
      </c>
      <c r="D20" s="15">
        <f t="shared" si="2"/>
        <v>39880.764384537855</v>
      </c>
      <c r="E20" s="15">
        <f>-PMT(('Edistynyt vuokratuottolaskuri'!$C$33/12),('Edistynyt vuokratuottolaskuri'!$C$34*12),('Edistynyt vuokratuottolaskuri'!$C$29+'Edistynyt vuokratuottolaskuri'!$C$35),0,0)</f>
        <v>209.63805404269655</v>
      </c>
      <c r="F20" s="15">
        <f>E20-(D20*('Edistynyt vuokratuottolaskuri'!$C$33/12))</f>
        <v>143.17011340180011</v>
      </c>
      <c r="G20" s="15">
        <f>IF(Lyhennystapa="Annuiteetti",(D20-F20),IF(Lyhennystapa="Tasalyhennys",(D20-'Edistynyt vuokratuottolaskuri'!$C$38),IF(Lyhennystapa="Bullet",D19,"")))</f>
        <v>39737.594271136055</v>
      </c>
      <c r="H20" s="15">
        <f t="shared" si="5"/>
        <v>10997.092683497274</v>
      </c>
      <c r="I20" s="15">
        <f>-PMT(('Edistynyt vuokratuottolaskuri'!$C$18/12),('Edistynyt vuokratuottolaskuri'!$C$19*12),('Edistynyt vuokratuottolaskuri'!$C$17),0,0)</f>
        <v>110.41614461107285</v>
      </c>
      <c r="J20" s="15">
        <f>I20-(H20*('Edistynyt vuokratuottolaskuri'!$C$18/12))</f>
        <v>92.087656805244052</v>
      </c>
      <c r="K20" s="15">
        <f t="shared" si="4"/>
        <v>10905.00502669203</v>
      </c>
      <c r="L20" s="15">
        <f t="shared" si="1"/>
        <v>50642.599297828085</v>
      </c>
      <c r="M20" s="15">
        <f>'Edistynyt vuokratuottolaskuri'!$C$6-K20-G20</f>
        <v>21357.400702171915</v>
      </c>
      <c r="N20" s="15"/>
      <c r="O20" s="15">
        <f>-'Edistynyt vuokratuottolaskuri'!$C$10*('Edistynyt vuokratuottolaskuri'!$I$7-'Edistynyt vuokratuottolaskuri'!$I$17)/12</f>
        <v>0</v>
      </c>
      <c r="P20" s="15">
        <f>P19+'Edistynyt vuokratuottolaskuri'!$I$19+O20</f>
        <v>375.48773675462962</v>
      </c>
      <c r="Q20" s="15">
        <f>IF(P19&gt;0,(P19*('Edistynyt vuokratuottolaskuri'!$F$7/12)),0)</f>
        <v>1.8649128519971674</v>
      </c>
      <c r="R20" s="15"/>
      <c r="S20" s="15"/>
      <c r="T20" s="15"/>
      <c r="U20" s="15"/>
      <c r="V20" s="15"/>
      <c r="W20" s="15">
        <f>W19+'Edistynyt vuokratuottolaskuri'!$I$19+Q20+N20</f>
        <v>386.67721386661259</v>
      </c>
    </row>
    <row r="21" spans="1:23" x14ac:dyDescent="0.2">
      <c r="A21" s="2" t="s">
        <v>36</v>
      </c>
      <c r="B21" s="2">
        <v>13</v>
      </c>
      <c r="C21" s="15">
        <f>C9+('Edistynyt vuokratuottolaskuri'!$C$52*C9)</f>
        <v>77770</v>
      </c>
      <c r="D21" s="15">
        <f t="shared" ref="D21:D25" si="6">G20</f>
        <v>39737.594271136055</v>
      </c>
      <c r="E21" s="15">
        <f>-PMT(('Edistynyt vuokratuottolaskuri'!$C$33/12),('Edistynyt vuokratuottolaskuri'!$C$34*12),('Edistynyt vuokratuottolaskuri'!$C$29+'Edistynyt vuokratuottolaskuri'!$C$35),0,0)</f>
        <v>209.63805404269655</v>
      </c>
      <c r="F21" s="15">
        <f>E21-(D21*('Edistynyt vuokratuottolaskuri'!$C$33/12))</f>
        <v>143.40873025746978</v>
      </c>
      <c r="G21" s="15">
        <f>IF(Lyhennystapa="Annuiteetti",(D21-F21),IF(Lyhennystapa="Tasalyhennys",(D21-'Edistynyt vuokratuottolaskuri'!$C$38),IF(Lyhennystapa="Bullet",D20,"")))</f>
        <v>39594.185540878585</v>
      </c>
      <c r="H21" s="15">
        <f t="shared" si="5"/>
        <v>10905.00502669203</v>
      </c>
      <c r="I21" s="15">
        <f>-PMT(('Edistynyt vuokratuottolaskuri'!$C$18/12),('Edistynyt vuokratuottolaskuri'!$C$19*12),('Edistynyt vuokratuottolaskuri'!$C$17),0,0)</f>
        <v>110.41614461107285</v>
      </c>
      <c r="J21" s="15">
        <f>I21-(H21*('Edistynyt vuokratuottolaskuri'!$C$18/12))</f>
        <v>92.241136233252803</v>
      </c>
      <c r="K21" s="15">
        <f t="shared" si="4"/>
        <v>10812.763890458777</v>
      </c>
      <c r="L21" s="15">
        <f t="shared" si="1"/>
        <v>50406.949431337358</v>
      </c>
      <c r="M21" s="15">
        <f>'Edistynyt vuokratuottolaskuri'!$C$6-K21-G21</f>
        <v>21593.050568662635</v>
      </c>
      <c r="N21" s="15">
        <f>('Edistynyt vuokratuottolaskuri'!$I$7*'Edistynyt vuokratuottolaskuri'!$C$9*(1-'Edistynyt vuokratuottolaskuri'!$C$41))</f>
        <v>0</v>
      </c>
      <c r="O21" s="15">
        <f>-'Edistynyt vuokratuottolaskuri'!$C$10*('Edistynyt vuokratuottolaskuri'!$I$7+N21-('Edistynyt vuokratuottolaskuri'!$I$17-(N21*Veroaste)))/12</f>
        <v>0</v>
      </c>
      <c r="P21" s="15">
        <f>P20+'Edistynyt vuokratuottolaskuri'!$I$19+N21+O21</f>
        <v>406.77838148418209</v>
      </c>
      <c r="Q21" s="15">
        <f>IF(P20&gt;0,(P20*('Edistynyt vuokratuottolaskuri'!$F$7/12)),0)</f>
        <v>2.0344503839969099</v>
      </c>
      <c r="R21" s="15">
        <f>P20</f>
        <v>375.48773675462962</v>
      </c>
      <c r="S21" s="15">
        <f>(IF(C21&gt;=$C$9,C21,$C$9))-L20-'Edistynyt vuokratuottolaskuri'!$C$28</f>
        <v>7127.4007021719153</v>
      </c>
      <c r="T21" s="15">
        <f>R21+S21</f>
        <v>7502.8884389265449</v>
      </c>
      <c r="U21" s="15"/>
      <c r="V21" s="15">
        <f>T21+U21</f>
        <v>7502.8884389265449</v>
      </c>
      <c r="W21" s="15">
        <f>W20+'Edistynyt vuokratuottolaskuri'!$I$19+Q21+N21</f>
        <v>420.00230898016196</v>
      </c>
    </row>
    <row r="22" spans="1:23" x14ac:dyDescent="0.2">
      <c r="B22" s="2">
        <v>14</v>
      </c>
      <c r="C22" s="15">
        <f>C10+('Edistynyt vuokratuottolaskuri'!$C$52*C10)</f>
        <v>77770</v>
      </c>
      <c r="D22" s="15">
        <f t="shared" si="6"/>
        <v>39594.185540878585</v>
      </c>
      <c r="E22" s="15">
        <f>-PMT(('Edistynyt vuokratuottolaskuri'!$C$33/12),('Edistynyt vuokratuottolaskuri'!$C$34*12),('Edistynyt vuokratuottolaskuri'!$C$29+'Edistynyt vuokratuottolaskuri'!$C$35),0,0)</f>
        <v>209.63805404269655</v>
      </c>
      <c r="F22" s="15">
        <f>E22-(D22*('Edistynyt vuokratuottolaskuri'!$C$33/12))</f>
        <v>143.6477448078989</v>
      </c>
      <c r="G22" s="15">
        <f>IF(Lyhennystapa="Annuiteetti",(D22-F22),IF(Lyhennystapa="Tasalyhennys",(D22-'Edistynyt vuokratuottolaskuri'!$C$38),IF(Lyhennystapa="Bullet",D21,"")))</f>
        <v>39450.537796070683</v>
      </c>
      <c r="H22" s="15">
        <f t="shared" si="5"/>
        <v>10812.763890458777</v>
      </c>
      <c r="I22" s="15">
        <f>-PMT(('Edistynyt vuokratuottolaskuri'!$C$18/12),('Edistynyt vuokratuottolaskuri'!$C$19*12),('Edistynyt vuokratuottolaskuri'!$C$17),0,0)</f>
        <v>110.41614461107285</v>
      </c>
      <c r="J22" s="15">
        <f>I22-(H22*('Edistynyt vuokratuottolaskuri'!$C$18/12))</f>
        <v>92.394871460308224</v>
      </c>
      <c r="K22" s="15">
        <f t="shared" si="4"/>
        <v>10720.369018998468</v>
      </c>
      <c r="L22" s="15">
        <f t="shared" si="1"/>
        <v>50170.906815069153</v>
      </c>
      <c r="M22" s="15">
        <f>'Edistynyt vuokratuottolaskuri'!$C$6-K22-G22</f>
        <v>21829.093184930847</v>
      </c>
      <c r="N22" s="15">
        <f>('Edistynyt vuokratuottolaskuri'!$I$7*'Edistynyt vuokratuottolaskuri'!$C$9*(1-'Edistynyt vuokratuottolaskuri'!$C$41))</f>
        <v>0</v>
      </c>
      <c r="O22" s="15">
        <f>-'Edistynyt vuokratuottolaskuri'!$C$10*('Edistynyt vuokratuottolaskuri'!$I$7+N22-('Edistynyt vuokratuottolaskuri'!$I$17-(N22*Veroaste)))/12</f>
        <v>0</v>
      </c>
      <c r="P22" s="15">
        <f>P21+'Edistynyt vuokratuottolaskuri'!$I$19+N22+O22</f>
        <v>438.06902621373456</v>
      </c>
      <c r="Q22" s="15">
        <f>IF(P21&gt;0,(P21*('Edistynyt vuokratuottolaskuri'!$F$7/12)),0)</f>
        <v>2.2039879159966524</v>
      </c>
      <c r="R22" s="15"/>
      <c r="S22" s="15"/>
      <c r="T22" s="15"/>
      <c r="U22" s="15"/>
      <c r="V22" s="15"/>
      <c r="W22" s="15">
        <f>W21+'Edistynyt vuokratuottolaskuri'!$I$19+Q22+N22</f>
        <v>453.49694162571109</v>
      </c>
    </row>
    <row r="23" spans="1:23" x14ac:dyDescent="0.2">
      <c r="B23" s="2">
        <v>15</v>
      </c>
      <c r="C23" s="15">
        <f>C11+('Edistynyt vuokratuottolaskuri'!$C$52*C11)</f>
        <v>77770</v>
      </c>
      <c r="D23" s="15">
        <f t="shared" si="6"/>
        <v>39450.537796070683</v>
      </c>
      <c r="E23" s="15">
        <f>-PMT(('Edistynyt vuokratuottolaskuri'!$C$33/12),('Edistynyt vuokratuottolaskuri'!$C$34*12),('Edistynyt vuokratuottolaskuri'!$C$29+'Edistynyt vuokratuottolaskuri'!$C$35),0,0)</f>
        <v>209.63805404269655</v>
      </c>
      <c r="F23" s="15">
        <f>E23-(D23*('Edistynyt vuokratuottolaskuri'!$C$33/12))</f>
        <v>143.88715771591208</v>
      </c>
      <c r="G23" s="15">
        <f>IF(Lyhennystapa="Annuiteetti",(D23-F23),IF(Lyhennystapa="Tasalyhennys",(D23-'Edistynyt vuokratuottolaskuri'!$C$38),IF(Lyhennystapa="Bullet",D22,"")))</f>
        <v>39306.650638354768</v>
      </c>
      <c r="H23" s="15">
        <f t="shared" si="5"/>
        <v>10720.369018998468</v>
      </c>
      <c r="I23" s="15">
        <f>-PMT(('Edistynyt vuokratuottolaskuri'!$C$18/12),('Edistynyt vuokratuottolaskuri'!$C$19*12),('Edistynyt vuokratuottolaskuri'!$C$17),0,0)</f>
        <v>110.41614461107285</v>
      </c>
      <c r="J23" s="15">
        <f>I23-(H23*('Edistynyt vuokratuottolaskuri'!$C$18/12))</f>
        <v>92.548862912742067</v>
      </c>
      <c r="K23" s="15">
        <f t="shared" si="4"/>
        <v>10627.820156085727</v>
      </c>
      <c r="L23" s="15">
        <f t="shared" si="1"/>
        <v>49934.470794440495</v>
      </c>
      <c r="M23" s="15">
        <f>'Edistynyt vuokratuottolaskuri'!$C$6-K23-G23</f>
        <v>22065.529205559505</v>
      </c>
      <c r="N23" s="15">
        <f>('Edistynyt vuokratuottolaskuri'!$I$7*'Edistynyt vuokratuottolaskuri'!$C$9*(1-'Edistynyt vuokratuottolaskuri'!$C$41))</f>
        <v>0</v>
      </c>
      <c r="O23" s="15">
        <f>-'Edistynyt vuokratuottolaskuri'!$C$10*('Edistynyt vuokratuottolaskuri'!$I$7+N23-('Edistynyt vuokratuottolaskuri'!$I$17-(N23*Veroaste)))/12</f>
        <v>0</v>
      </c>
      <c r="P23" s="15">
        <f>P22+'Edistynyt vuokratuottolaskuri'!$I$19+N23+O23</f>
        <v>469.35967094328703</v>
      </c>
      <c r="Q23" s="15">
        <f>IF(P22&gt;0,(P22*('Edistynyt vuokratuottolaskuri'!$F$7/12)),0)</f>
        <v>2.373525447996395</v>
      </c>
      <c r="R23" s="15"/>
      <c r="S23" s="15"/>
      <c r="T23" s="15"/>
      <c r="U23" s="15"/>
      <c r="V23" s="15"/>
      <c r="W23" s="15">
        <f>W22+'Edistynyt vuokratuottolaskuri'!$I$19+Q23+N23</f>
        <v>487.16111180325993</v>
      </c>
    </row>
    <row r="24" spans="1:23" x14ac:dyDescent="0.2">
      <c r="B24" s="2">
        <v>16</v>
      </c>
      <c r="C24" s="15">
        <f>C12+('Edistynyt vuokratuottolaskuri'!$C$52*C12)</f>
        <v>77770</v>
      </c>
      <c r="D24" s="15">
        <f t="shared" si="6"/>
        <v>39306.650638354768</v>
      </c>
      <c r="E24" s="15">
        <f>-PMT(('Edistynyt vuokratuottolaskuri'!$C$33/12),('Edistynyt vuokratuottolaskuri'!$C$34*12),('Edistynyt vuokratuottolaskuri'!$C$29+'Edistynyt vuokratuottolaskuri'!$C$35),0,0)</f>
        <v>209.63805404269655</v>
      </c>
      <c r="F24" s="15">
        <f>E24-(D24*('Edistynyt vuokratuottolaskuri'!$C$33/12))</f>
        <v>144.12696964543861</v>
      </c>
      <c r="G24" s="15">
        <f>IF(Lyhennystapa="Annuiteetti",(D24-F24),IF(Lyhennystapa="Tasalyhennys",(D24-'Edistynyt vuokratuottolaskuri'!$C$38),IF(Lyhennystapa="Bullet",D23,"")))</f>
        <v>39162.523668709327</v>
      </c>
      <c r="H24" s="15">
        <f t="shared" si="5"/>
        <v>10627.820156085727</v>
      </c>
      <c r="I24" s="15">
        <f>-PMT(('Edistynyt vuokratuottolaskuri'!$C$18/12),('Edistynyt vuokratuottolaskuri'!$C$19*12),('Edistynyt vuokratuottolaskuri'!$C$17),0,0)</f>
        <v>110.41614461107285</v>
      </c>
      <c r="J24" s="15">
        <f>I24-(H24*('Edistynyt vuokratuottolaskuri'!$C$18/12))</f>
        <v>92.70311101759664</v>
      </c>
      <c r="K24" s="15">
        <f t="shared" si="4"/>
        <v>10535.117045068131</v>
      </c>
      <c r="L24" s="15">
        <f t="shared" si="1"/>
        <v>49697.640713777459</v>
      </c>
      <c r="M24" s="15">
        <f>'Edistynyt vuokratuottolaskuri'!$C$6-K24-G24</f>
        <v>22302.359286222541</v>
      </c>
      <c r="N24" s="15">
        <f>('Edistynyt vuokratuottolaskuri'!$I$7*'Edistynyt vuokratuottolaskuri'!$C$9*(1-'Edistynyt vuokratuottolaskuri'!$C$41))</f>
        <v>0</v>
      </c>
      <c r="O24" s="15">
        <f>-'Edistynyt vuokratuottolaskuri'!$C$10*('Edistynyt vuokratuottolaskuri'!$I$7+N24-('Edistynyt vuokratuottolaskuri'!$I$17-(N24*Veroaste)))/12</f>
        <v>0</v>
      </c>
      <c r="P24" s="15">
        <f>P23+'Edistynyt vuokratuottolaskuri'!$I$19+N24+O24</f>
        <v>500.6503156728395</v>
      </c>
      <c r="Q24" s="15">
        <f>IF(P23&gt;0,(P23*('Edistynyt vuokratuottolaskuri'!$F$7/12)),0)</f>
        <v>2.5430629799961375</v>
      </c>
      <c r="R24" s="15"/>
      <c r="S24" s="15"/>
      <c r="T24" s="15"/>
      <c r="U24" s="15"/>
      <c r="V24" s="15"/>
      <c r="W24" s="15">
        <f>W23+'Edistynyt vuokratuottolaskuri'!$I$19+Q24+N24</f>
        <v>520.99481951280859</v>
      </c>
    </row>
    <row r="25" spans="1:23" x14ac:dyDescent="0.2">
      <c r="B25" s="2">
        <v>17</v>
      </c>
      <c r="C25" s="15">
        <f>C13+('Edistynyt vuokratuottolaskuri'!$C$52*C13)</f>
        <v>77770</v>
      </c>
      <c r="D25" s="15">
        <f t="shared" si="6"/>
        <v>39162.523668709327</v>
      </c>
      <c r="E25" s="15">
        <f>-PMT(('Edistynyt vuokratuottolaskuri'!$C$33/12),('Edistynyt vuokratuottolaskuri'!$C$34*12),('Edistynyt vuokratuottolaskuri'!$C$29+'Edistynyt vuokratuottolaskuri'!$C$35),0,0)</f>
        <v>209.63805404269655</v>
      </c>
      <c r="F25" s="15">
        <f>E25-(D25*('Edistynyt vuokratuottolaskuri'!$C$33/12))</f>
        <v>144.36718126151433</v>
      </c>
      <c r="G25" s="15">
        <f>IF(Lyhennystapa="Annuiteetti",(D25-F25),IF(Lyhennystapa="Tasalyhennys",(D25-'Edistynyt vuokratuottolaskuri'!$C$38),IF(Lyhennystapa="Bullet",D24,"")))</f>
        <v>39018.156487447814</v>
      </c>
      <c r="H25" s="15">
        <f t="shared" si="5"/>
        <v>10535.117045068131</v>
      </c>
      <c r="I25" s="15">
        <f>-PMT(('Edistynyt vuokratuottolaskuri'!$C$18/12),('Edistynyt vuokratuottolaskuri'!$C$19*12),('Edistynyt vuokratuottolaskuri'!$C$17),0,0)</f>
        <v>110.41614461107285</v>
      </c>
      <c r="J25" s="15">
        <f>I25-(H25*('Edistynyt vuokratuottolaskuri'!$C$18/12))</f>
        <v>92.857616202625962</v>
      </c>
      <c r="K25" s="15">
        <f t="shared" si="4"/>
        <v>10442.259428865505</v>
      </c>
      <c r="L25" s="15">
        <f t="shared" si="1"/>
        <v>49460.415916313315</v>
      </c>
      <c r="M25" s="15">
        <f>'Edistynyt vuokratuottolaskuri'!$C$6-K25-G25</f>
        <v>22539.584083686677</v>
      </c>
      <c r="N25" s="15">
        <f>('Edistynyt vuokratuottolaskuri'!$I$7*'Edistynyt vuokratuottolaskuri'!$C$9*(1-'Edistynyt vuokratuottolaskuri'!$C$41))</f>
        <v>0</v>
      </c>
      <c r="O25" s="15">
        <f>-'Edistynyt vuokratuottolaskuri'!$C$10*('Edistynyt vuokratuottolaskuri'!$I$7+N25-('Edistynyt vuokratuottolaskuri'!$I$17-(N25*Veroaste)))/12</f>
        <v>0</v>
      </c>
      <c r="P25" s="15">
        <f>P24+'Edistynyt vuokratuottolaskuri'!$I$19+N25+O25</f>
        <v>531.94096040239197</v>
      </c>
      <c r="Q25" s="15">
        <f>IF(P24&gt;0,(P24*('Edistynyt vuokratuottolaskuri'!$F$7/12)),0)</f>
        <v>2.71260051199588</v>
      </c>
      <c r="R25" s="15"/>
      <c r="S25" s="15"/>
      <c r="T25" s="15"/>
      <c r="U25" s="15"/>
      <c r="V25" s="15"/>
      <c r="W25" s="15">
        <f>W24+'Edistynyt vuokratuottolaskuri'!$I$19+Q25+N25</f>
        <v>554.99806475435696</v>
      </c>
    </row>
    <row r="26" spans="1:23" x14ac:dyDescent="0.2">
      <c r="B26" s="2">
        <v>18</v>
      </c>
      <c r="C26" s="15">
        <f>C14+('Edistynyt vuokratuottolaskuri'!$C$52*C14)</f>
        <v>77770</v>
      </c>
      <c r="D26" s="15">
        <f t="shared" ref="D26:D43" si="7">G25</f>
        <v>39018.156487447814</v>
      </c>
      <c r="E26" s="15">
        <f>-PMT(('Edistynyt vuokratuottolaskuri'!$C$33/12),('Edistynyt vuokratuottolaskuri'!$C$34*12),('Edistynyt vuokratuottolaskuri'!$C$29+'Edistynyt vuokratuottolaskuri'!$C$35),0,0)</f>
        <v>209.63805404269655</v>
      </c>
      <c r="F26" s="15">
        <f>E26-(D26*('Edistynyt vuokratuottolaskuri'!$C$33/12))</f>
        <v>144.60779323028351</v>
      </c>
      <c r="G26" s="15">
        <f>IF(Lyhennystapa="Annuiteetti",(D26-F26),IF(Lyhennystapa="Tasalyhennys",(D26-'Edistynyt vuokratuottolaskuri'!$C$38),IF(Lyhennystapa="Bullet",D25,"")))</f>
        <v>38873.548694217527</v>
      </c>
      <c r="H26" s="15">
        <f t="shared" si="5"/>
        <v>10442.259428865505</v>
      </c>
      <c r="I26" s="15">
        <f>-PMT(('Edistynyt vuokratuottolaskuri'!$C$18/12),('Edistynyt vuokratuottolaskuri'!$C$19*12),('Edistynyt vuokratuottolaskuri'!$C$17),0,0)</f>
        <v>110.41614461107285</v>
      </c>
      <c r="J26" s="15">
        <f>I26-(H26*('Edistynyt vuokratuottolaskuri'!$C$18/12))</f>
        <v>93.012378896297008</v>
      </c>
      <c r="K26" s="15">
        <f t="shared" si="4"/>
        <v>10349.247049969208</v>
      </c>
      <c r="L26" s="15">
        <f t="shared" si="1"/>
        <v>49222.795744186733</v>
      </c>
      <c r="M26" s="15">
        <f>'Edistynyt vuokratuottolaskuri'!$C$6-K26-G26</f>
        <v>22777.204255813267</v>
      </c>
      <c r="N26" s="15">
        <f>('Edistynyt vuokratuottolaskuri'!$I$7*'Edistynyt vuokratuottolaskuri'!$C$9*(1-'Edistynyt vuokratuottolaskuri'!$C$41))</f>
        <v>0</v>
      </c>
      <c r="O26" s="15">
        <f>-'Edistynyt vuokratuottolaskuri'!$C$10*('Edistynyt vuokratuottolaskuri'!$I$7+N26-('Edistynyt vuokratuottolaskuri'!$I$17-(N26*Veroaste)))/12</f>
        <v>0</v>
      </c>
      <c r="P26" s="15">
        <f>P25+'Edistynyt vuokratuottolaskuri'!$I$19+N26+O26</f>
        <v>563.23160513194443</v>
      </c>
      <c r="Q26" s="15">
        <f>IF(P25&gt;0,(P25*('Edistynyt vuokratuottolaskuri'!$F$7/12)),0)</f>
        <v>2.8821380439956221</v>
      </c>
      <c r="R26" s="15"/>
      <c r="S26" s="15"/>
      <c r="T26" s="15"/>
      <c r="U26" s="15"/>
      <c r="V26" s="15"/>
      <c r="W26" s="15">
        <f>W25+'Edistynyt vuokratuottolaskuri'!$I$19+Q26+N26</f>
        <v>589.17084752790504</v>
      </c>
    </row>
    <row r="27" spans="1:23" x14ac:dyDescent="0.2">
      <c r="B27" s="2">
        <v>19</v>
      </c>
      <c r="C27" s="15">
        <f>C15+('Edistynyt vuokratuottolaskuri'!$C$52*C15)</f>
        <v>77770</v>
      </c>
      <c r="D27" s="15">
        <f t="shared" si="7"/>
        <v>38873.548694217527</v>
      </c>
      <c r="E27" s="15">
        <f>-PMT(('Edistynyt vuokratuottolaskuri'!$C$33/12),('Edistynyt vuokratuottolaskuri'!$C$34*12),('Edistynyt vuokratuottolaskuri'!$C$29+'Edistynyt vuokratuottolaskuri'!$C$35),0,0)</f>
        <v>209.63805404269655</v>
      </c>
      <c r="F27" s="15">
        <f>E27-(D27*('Edistynyt vuokratuottolaskuri'!$C$33/12))</f>
        <v>144.84880621900066</v>
      </c>
      <c r="G27" s="15">
        <f>IF(Lyhennystapa="Annuiteetti",(D27-F27),IF(Lyhennystapa="Tasalyhennys",(D27-'Edistynyt vuokratuottolaskuri'!$C$38),IF(Lyhennystapa="Bullet",D26,"")))</f>
        <v>38728.699887998526</v>
      </c>
      <c r="H27" s="15">
        <f t="shared" si="5"/>
        <v>10349.247049969208</v>
      </c>
      <c r="I27" s="15">
        <f>-PMT(('Edistynyt vuokratuottolaskuri'!$C$18/12),('Edistynyt vuokratuottolaskuri'!$C$19*12),('Edistynyt vuokratuottolaskuri'!$C$17),0,0)</f>
        <v>110.41614461107285</v>
      </c>
      <c r="J27" s="15">
        <f>I27-(H27*('Edistynyt vuokratuottolaskuri'!$C$18/12))</f>
        <v>93.167399527790835</v>
      </c>
      <c r="K27" s="15">
        <f t="shared" si="4"/>
        <v>10256.079650441417</v>
      </c>
      <c r="L27" s="15">
        <f t="shared" si="1"/>
        <v>48984.779538439943</v>
      </c>
      <c r="M27" s="15">
        <f>'Edistynyt vuokratuottolaskuri'!$C$6-K27-G27</f>
        <v>23015.220461560057</v>
      </c>
      <c r="N27" s="15">
        <f>('Edistynyt vuokratuottolaskuri'!$I$7*'Edistynyt vuokratuottolaskuri'!$C$9*(1-'Edistynyt vuokratuottolaskuri'!$C$41))</f>
        <v>0</v>
      </c>
      <c r="O27" s="15">
        <f>-'Edistynyt vuokratuottolaskuri'!$C$10*('Edistynyt vuokratuottolaskuri'!$I$7+N27-('Edistynyt vuokratuottolaskuri'!$I$17-(N27*Veroaste)))/12</f>
        <v>0</v>
      </c>
      <c r="P27" s="15">
        <f>P26+'Edistynyt vuokratuottolaskuri'!$I$19+N27+O27</f>
        <v>594.5222498614969</v>
      </c>
      <c r="Q27" s="15">
        <f>IF(P26&gt;0,(P26*('Edistynyt vuokratuottolaskuri'!$F$7/12)),0)</f>
        <v>3.0516755759953647</v>
      </c>
      <c r="R27" s="15"/>
      <c r="S27" s="15"/>
      <c r="T27" s="15"/>
      <c r="U27" s="15"/>
      <c r="V27" s="15"/>
      <c r="W27" s="15">
        <f>W26+'Edistynyt vuokratuottolaskuri'!$I$19+Q27+N27</f>
        <v>623.51316783345283</v>
      </c>
    </row>
    <row r="28" spans="1:23" x14ac:dyDescent="0.2">
      <c r="B28" s="2">
        <v>20</v>
      </c>
      <c r="C28" s="15">
        <f>C16+('Edistynyt vuokratuottolaskuri'!$C$52*C16)</f>
        <v>77770</v>
      </c>
      <c r="D28" s="15">
        <f t="shared" si="7"/>
        <v>38728.699887998526</v>
      </c>
      <c r="E28" s="15">
        <f>-PMT(('Edistynyt vuokratuottolaskuri'!$C$33/12),('Edistynyt vuokratuottolaskuri'!$C$34*12),('Edistynyt vuokratuottolaskuri'!$C$29+'Edistynyt vuokratuottolaskuri'!$C$35),0,0)</f>
        <v>209.63805404269655</v>
      </c>
      <c r="F28" s="15">
        <f>E28-(D28*('Edistynyt vuokratuottolaskuri'!$C$33/12))</f>
        <v>145.09022089603235</v>
      </c>
      <c r="G28" s="15">
        <f>IF(Lyhennystapa="Annuiteetti",(D28-F28),IF(Lyhennystapa="Tasalyhennys",(D28-'Edistynyt vuokratuottolaskuri'!$C$38),IF(Lyhennystapa="Bullet",D27,"")))</f>
        <v>38583.609667102493</v>
      </c>
      <c r="H28" s="15">
        <f t="shared" si="5"/>
        <v>10256.079650441417</v>
      </c>
      <c r="I28" s="15">
        <f>-PMT(('Edistynyt vuokratuottolaskuri'!$C$18/12),('Edistynyt vuokratuottolaskuri'!$C$19*12),('Edistynyt vuokratuottolaskuri'!$C$17),0,0)</f>
        <v>110.41614461107285</v>
      </c>
      <c r="J28" s="15">
        <f>I28-(H28*('Edistynyt vuokratuottolaskuri'!$C$18/12))</f>
        <v>93.322678527003831</v>
      </c>
      <c r="K28" s="15">
        <f t="shared" si="4"/>
        <v>10162.756971914414</v>
      </c>
      <c r="L28" s="15">
        <f t="shared" si="1"/>
        <v>48746.366639016909</v>
      </c>
      <c r="M28" s="15">
        <f>'Edistynyt vuokratuottolaskuri'!$C$6-K28-G28</f>
        <v>23253.633360983091</v>
      </c>
      <c r="N28" s="15">
        <f>('Edistynyt vuokratuottolaskuri'!$I$7*'Edistynyt vuokratuottolaskuri'!$C$9*(1-'Edistynyt vuokratuottolaskuri'!$C$41))</f>
        <v>0</v>
      </c>
      <c r="O28" s="15">
        <f>-'Edistynyt vuokratuottolaskuri'!$C$10*('Edistynyt vuokratuottolaskuri'!$I$7+N28-('Edistynyt vuokratuottolaskuri'!$I$17-(N28*Veroaste)))/12</f>
        <v>0</v>
      </c>
      <c r="P28" s="15">
        <f>P27+'Edistynyt vuokratuottolaskuri'!$I$19+N28+O28</f>
        <v>625.81289459104937</v>
      </c>
      <c r="Q28" s="15">
        <f>IF(P27&gt;0,(P27*('Edistynyt vuokratuottolaskuri'!$F$7/12)),0)</f>
        <v>3.2212131079951072</v>
      </c>
      <c r="R28" s="15"/>
      <c r="S28" s="15"/>
      <c r="T28" s="15"/>
      <c r="U28" s="15"/>
      <c r="V28" s="15"/>
      <c r="W28" s="15">
        <f>W27+'Edistynyt vuokratuottolaskuri'!$I$19+Q28+N28</f>
        <v>658.02502567100044</v>
      </c>
    </row>
    <row r="29" spans="1:23" x14ac:dyDescent="0.2">
      <c r="B29" s="2">
        <v>21</v>
      </c>
      <c r="C29" s="15">
        <f>C17+('Edistynyt vuokratuottolaskuri'!$C$52*C17)</f>
        <v>77770</v>
      </c>
      <c r="D29" s="15">
        <f t="shared" si="7"/>
        <v>38583.609667102493</v>
      </c>
      <c r="E29" s="15">
        <f>-PMT(('Edistynyt vuokratuottolaskuri'!$C$33/12),('Edistynyt vuokratuottolaskuri'!$C$34*12),('Edistynyt vuokratuottolaskuri'!$C$29+'Edistynyt vuokratuottolaskuri'!$C$35),0,0)</f>
        <v>209.63805404269655</v>
      </c>
      <c r="F29" s="15">
        <f>E29-(D29*('Edistynyt vuokratuottolaskuri'!$C$33/12))</f>
        <v>145.33203793085906</v>
      </c>
      <c r="G29" s="15">
        <f>IF(Lyhennystapa="Annuiteetti",(D29-F29),IF(Lyhennystapa="Tasalyhennys",(D29-'Edistynyt vuokratuottolaskuri'!$C$38),IF(Lyhennystapa="Bullet",D28,"")))</f>
        <v>38438.277629171636</v>
      </c>
      <c r="H29" s="15">
        <f t="shared" si="5"/>
        <v>10162.756971914414</v>
      </c>
      <c r="I29" s="15">
        <f>-PMT(('Edistynyt vuokratuottolaskuri'!$C$18/12),('Edistynyt vuokratuottolaskuri'!$C$19*12),('Edistynyt vuokratuottolaskuri'!$C$17),0,0)</f>
        <v>110.41614461107285</v>
      </c>
      <c r="J29" s="15">
        <f>I29-(H29*('Edistynyt vuokratuottolaskuri'!$C$18/12))</f>
        <v>93.478216324548825</v>
      </c>
      <c r="K29" s="15">
        <f t="shared" si="4"/>
        <v>10069.278755589865</v>
      </c>
      <c r="L29" s="15">
        <f t="shared" si="1"/>
        <v>48507.556384761498</v>
      </c>
      <c r="M29" s="15">
        <f>'Edistynyt vuokratuottolaskuri'!$C$6-K29-G29</f>
        <v>23492.443615238495</v>
      </c>
      <c r="N29" s="15">
        <f>('Edistynyt vuokratuottolaskuri'!$I$7*'Edistynyt vuokratuottolaskuri'!$C$9*(1-'Edistynyt vuokratuottolaskuri'!$C$41))</f>
        <v>0</v>
      </c>
      <c r="O29" s="15">
        <f>-'Edistynyt vuokratuottolaskuri'!$C$10*('Edistynyt vuokratuottolaskuri'!$I$7+N29-('Edistynyt vuokratuottolaskuri'!$I$17-(N29*Veroaste)))/12</f>
        <v>0</v>
      </c>
      <c r="P29" s="15">
        <f>P28+'Edistynyt vuokratuottolaskuri'!$I$19+N29+O29</f>
        <v>657.10353932060184</v>
      </c>
      <c r="Q29" s="15">
        <f>IF(P28&gt;0,(P28*('Edistynyt vuokratuottolaskuri'!$F$7/12)),0)</f>
        <v>3.3907506399948497</v>
      </c>
      <c r="R29" s="15"/>
      <c r="S29" s="15"/>
      <c r="T29" s="15"/>
      <c r="U29" s="15"/>
      <c r="V29" s="15"/>
      <c r="W29" s="15">
        <f>W28+'Edistynyt vuokratuottolaskuri'!$I$19+Q29+N29</f>
        <v>692.70642104054775</v>
      </c>
    </row>
    <row r="30" spans="1:23" x14ac:dyDescent="0.2">
      <c r="B30" s="2">
        <v>22</v>
      </c>
      <c r="C30" s="15">
        <f>C18+('Edistynyt vuokratuottolaskuri'!$C$52*C18)</f>
        <v>77770</v>
      </c>
      <c r="D30" s="15">
        <f t="shared" si="7"/>
        <v>38438.277629171636</v>
      </c>
      <c r="E30" s="15">
        <f>-PMT(('Edistynyt vuokratuottolaskuri'!$C$33/12),('Edistynyt vuokratuottolaskuri'!$C$34*12),('Edistynyt vuokratuottolaskuri'!$C$29+'Edistynyt vuokratuottolaskuri'!$C$35),0,0)</f>
        <v>209.63805404269655</v>
      </c>
      <c r="F30" s="15">
        <f>E30-(D30*('Edistynyt vuokratuottolaskuri'!$C$33/12))</f>
        <v>145.57425799407716</v>
      </c>
      <c r="G30" s="15">
        <f>IF(Lyhennystapa="Annuiteetti",(D30-F30),IF(Lyhennystapa="Tasalyhennys",(D30-'Edistynyt vuokratuottolaskuri'!$C$38),IF(Lyhennystapa="Bullet",D29,"")))</f>
        <v>38292.703371177558</v>
      </c>
      <c r="H30" s="15">
        <f t="shared" si="5"/>
        <v>10069.278755589865</v>
      </c>
      <c r="I30" s="15">
        <f>-PMT(('Edistynyt vuokratuottolaskuri'!$C$18/12),('Edistynyt vuokratuottolaskuri'!$C$19*12),('Edistynyt vuokratuottolaskuri'!$C$17),0,0)</f>
        <v>110.41614461107285</v>
      </c>
      <c r="J30" s="15">
        <f>I30-(H30*('Edistynyt vuokratuottolaskuri'!$C$18/12))</f>
        <v>93.634013351756408</v>
      </c>
      <c r="K30" s="15">
        <f t="shared" si="4"/>
        <v>9975.6447422381079</v>
      </c>
      <c r="L30" s="15">
        <f t="shared" si="1"/>
        <v>48268.348113415668</v>
      </c>
      <c r="M30" s="15">
        <f>'Edistynyt vuokratuottolaskuri'!$C$6-K30-G30</f>
        <v>23731.651886584332</v>
      </c>
      <c r="N30" s="15">
        <f>('Edistynyt vuokratuottolaskuri'!$I$7*'Edistynyt vuokratuottolaskuri'!$C$9*(1-'Edistynyt vuokratuottolaskuri'!$C$41))</f>
        <v>0</v>
      </c>
      <c r="O30" s="15">
        <f>-'Edistynyt vuokratuottolaskuri'!$C$10*('Edistynyt vuokratuottolaskuri'!$I$7+N30-('Edistynyt vuokratuottolaskuri'!$I$17-(N30*Veroaste)))/12</f>
        <v>0</v>
      </c>
      <c r="P30" s="15">
        <f>P29+'Edistynyt vuokratuottolaskuri'!$I$19+N30+O30</f>
        <v>688.39418405015431</v>
      </c>
      <c r="Q30" s="15">
        <f>IF(P29&gt;0,(P29*('Edistynyt vuokratuottolaskuri'!$F$7/12)),0)</f>
        <v>3.5602881719945922</v>
      </c>
      <c r="R30" s="15"/>
      <c r="S30" s="15"/>
      <c r="T30" s="15"/>
      <c r="U30" s="15"/>
      <c r="V30" s="15"/>
      <c r="W30" s="15">
        <f>W29+'Edistynyt vuokratuottolaskuri'!$I$19+Q30+N30</f>
        <v>727.55735394209478</v>
      </c>
    </row>
    <row r="31" spans="1:23" x14ac:dyDescent="0.2">
      <c r="B31" s="2">
        <v>23</v>
      </c>
      <c r="C31" s="15">
        <f>C19+('Edistynyt vuokratuottolaskuri'!$C$52*C19)</f>
        <v>77770</v>
      </c>
      <c r="D31" s="15">
        <f t="shared" si="7"/>
        <v>38292.703371177558</v>
      </c>
      <c r="E31" s="15">
        <f>-PMT(('Edistynyt vuokratuottolaskuri'!$C$33/12),('Edistynyt vuokratuottolaskuri'!$C$34*12),('Edistynyt vuokratuottolaskuri'!$C$29+'Edistynyt vuokratuottolaskuri'!$C$35),0,0)</f>
        <v>209.63805404269655</v>
      </c>
      <c r="F31" s="15">
        <f>E31-(D31*('Edistynyt vuokratuottolaskuri'!$C$33/12))</f>
        <v>145.81688175740061</v>
      </c>
      <c r="G31" s="15">
        <f>IF(Lyhennystapa="Annuiteetti",(D31-F31),IF(Lyhennystapa="Tasalyhennys",(D31-'Edistynyt vuokratuottolaskuri'!$C$38),IF(Lyhennystapa="Bullet",D30,"")))</f>
        <v>38146.886489420154</v>
      </c>
      <c r="H31" s="15">
        <f t="shared" si="5"/>
        <v>9975.6447422381079</v>
      </c>
      <c r="I31" s="15">
        <f>-PMT(('Edistynyt vuokratuottolaskuri'!$C$18/12),('Edistynyt vuokratuottolaskuri'!$C$19*12),('Edistynyt vuokratuottolaskuri'!$C$17),0,0)</f>
        <v>110.41614461107285</v>
      </c>
      <c r="J31" s="15">
        <f>I31-(H31*('Edistynyt vuokratuottolaskuri'!$C$18/12))</f>
        <v>93.790070040676</v>
      </c>
      <c r="K31" s="15">
        <f t="shared" si="4"/>
        <v>9881.8546721974326</v>
      </c>
      <c r="L31" s="15">
        <f t="shared" si="1"/>
        <v>48028.741161617589</v>
      </c>
      <c r="M31" s="15">
        <f>'Edistynyt vuokratuottolaskuri'!$C$6-K31-G31</f>
        <v>23971.258838382411</v>
      </c>
      <c r="N31" s="15">
        <f>('Edistynyt vuokratuottolaskuri'!$I$7*'Edistynyt vuokratuottolaskuri'!$C$9*(1-'Edistynyt vuokratuottolaskuri'!$C$41))</f>
        <v>0</v>
      </c>
      <c r="O31" s="15">
        <f>-'Edistynyt vuokratuottolaskuri'!$C$10*('Edistynyt vuokratuottolaskuri'!$I$7+N31-('Edistynyt vuokratuottolaskuri'!$I$17-(N31*Veroaste)))/12</f>
        <v>0</v>
      </c>
      <c r="P31" s="15">
        <f>P30+'Edistynyt vuokratuottolaskuri'!$I$19+N31+O31</f>
        <v>719.68482877970678</v>
      </c>
      <c r="Q31" s="15">
        <f>IF(P30&gt;0,(P30*('Edistynyt vuokratuottolaskuri'!$F$7/12)),0)</f>
        <v>3.7298257039943348</v>
      </c>
      <c r="R31" s="15"/>
      <c r="S31" s="15"/>
      <c r="T31" s="15"/>
      <c r="U31" s="15"/>
      <c r="V31" s="15"/>
      <c r="W31" s="15">
        <f>W30+'Edistynyt vuokratuottolaskuri'!$I$19+Q31+N31</f>
        <v>762.57782437564163</v>
      </c>
    </row>
    <row r="32" spans="1:23" x14ac:dyDescent="0.2">
      <c r="B32" s="2">
        <v>24</v>
      </c>
      <c r="C32" s="15">
        <f>C20+('Edistynyt vuokratuottolaskuri'!$C$52*C20)</f>
        <v>77770</v>
      </c>
      <c r="D32" s="15">
        <f t="shared" si="7"/>
        <v>38146.886489420154</v>
      </c>
      <c r="E32" s="15">
        <f>-PMT(('Edistynyt vuokratuottolaskuri'!$C$33/12),('Edistynyt vuokratuottolaskuri'!$C$34*12),('Edistynyt vuokratuottolaskuri'!$C$29+'Edistynyt vuokratuottolaskuri'!$C$35),0,0)</f>
        <v>209.63805404269655</v>
      </c>
      <c r="F32" s="15">
        <f>E32-(D32*('Edistynyt vuokratuottolaskuri'!$C$33/12))</f>
        <v>146.05990989366296</v>
      </c>
      <c r="G32" s="15">
        <f>IF(Lyhennystapa="Annuiteetti",(D32-F32),IF(Lyhennystapa="Tasalyhennys",(D32-'Edistynyt vuokratuottolaskuri'!$C$38),IF(Lyhennystapa="Bullet",D31,"")))</f>
        <v>38000.826579526489</v>
      </c>
      <c r="H32" s="15">
        <f t="shared" si="5"/>
        <v>9881.8546721974326</v>
      </c>
      <c r="I32" s="15">
        <f>-PMT(('Edistynyt vuokratuottolaskuri'!$C$18/12),('Edistynyt vuokratuottolaskuri'!$C$19*12),('Edistynyt vuokratuottolaskuri'!$C$17),0,0)</f>
        <v>110.41614461107285</v>
      </c>
      <c r="J32" s="15">
        <f>I32-(H32*('Edistynyt vuokratuottolaskuri'!$C$18/12))</f>
        <v>93.946386824077138</v>
      </c>
      <c r="K32" s="15">
        <f t="shared" si="4"/>
        <v>9787.9082853733562</v>
      </c>
      <c r="L32" s="15">
        <f t="shared" si="1"/>
        <v>47788.734864899845</v>
      </c>
      <c r="M32" s="15">
        <f>'Edistynyt vuokratuottolaskuri'!$C$6-K32-G32</f>
        <v>24211.265135100155</v>
      </c>
      <c r="N32" s="15">
        <f>('Edistynyt vuokratuottolaskuri'!$I$7*'Edistynyt vuokratuottolaskuri'!$C$9*(1-'Edistynyt vuokratuottolaskuri'!$C$41))</f>
        <v>0</v>
      </c>
      <c r="O32" s="15">
        <f>-'Edistynyt vuokratuottolaskuri'!$C$10*('Edistynyt vuokratuottolaskuri'!$I$7+N32-('Edistynyt vuokratuottolaskuri'!$I$17-(N32*Veroaste)))/12</f>
        <v>0</v>
      </c>
      <c r="P32" s="15">
        <f>P31+'Edistynyt vuokratuottolaskuri'!$I$19+N32+O32</f>
        <v>750.97547350925925</v>
      </c>
      <c r="Q32" s="15">
        <f>IF(P31&gt;0,(P31*('Edistynyt vuokratuottolaskuri'!$F$7/12)),0)</f>
        <v>3.8993632359940773</v>
      </c>
      <c r="R32" s="15"/>
      <c r="S32" s="15"/>
      <c r="T32" s="15"/>
      <c r="U32" s="15"/>
      <c r="V32" s="15"/>
      <c r="W32" s="15">
        <f>W31+'Edistynyt vuokratuottolaskuri'!$I$19+Q32+N32</f>
        <v>797.76783234118818</v>
      </c>
    </row>
    <row r="33" spans="1:24" x14ac:dyDescent="0.2">
      <c r="A33" s="2" t="s">
        <v>37</v>
      </c>
      <c r="B33" s="2">
        <v>25</v>
      </c>
      <c r="C33" s="15">
        <f>C21+('Edistynyt vuokratuottolaskuri'!$C$52*C21)</f>
        <v>78547.7</v>
      </c>
      <c r="D33" s="15">
        <f t="shared" si="7"/>
        <v>38000.826579526489</v>
      </c>
      <c r="E33" s="15">
        <f>-PMT(('Edistynyt vuokratuottolaskuri'!$C$33/12),('Edistynyt vuokratuottolaskuri'!$C$34*12),('Edistynyt vuokratuottolaskuri'!$C$29+'Edistynyt vuokratuottolaskuri'!$C$35),0,0)</f>
        <v>209.63805404269655</v>
      </c>
      <c r="F33" s="15">
        <f>E33-(D33*('Edistynyt vuokratuottolaskuri'!$C$33/12))</f>
        <v>146.30334307681906</v>
      </c>
      <c r="G33" s="15">
        <f>IF(Lyhennystapa="Annuiteetti",(D33-F33),IF(Lyhennystapa="Tasalyhennys",(D33-'Edistynyt vuokratuottolaskuri'!$C$38),IF(Lyhennystapa="Bullet",D32,"")))</f>
        <v>37854.52323644967</v>
      </c>
      <c r="H33" s="15">
        <f t="shared" si="5"/>
        <v>9787.9082853733562</v>
      </c>
      <c r="I33" s="15">
        <f>-PMT(('Edistynyt vuokratuottolaskuri'!$C$18/12),('Edistynyt vuokratuottolaskuri'!$C$19*12),('Edistynyt vuokratuottolaskuri'!$C$17),0,0)</f>
        <v>110.41614461107285</v>
      </c>
      <c r="J33" s="15">
        <f>I33-(H33*('Edistynyt vuokratuottolaskuri'!$C$18/12))</f>
        <v>94.102964135450591</v>
      </c>
      <c r="K33" s="15">
        <f t="shared" si="4"/>
        <v>9693.8053212379054</v>
      </c>
      <c r="L33" s="15">
        <f t="shared" si="1"/>
        <v>47548.328557687579</v>
      </c>
      <c r="M33" s="15">
        <f>'Edistynyt vuokratuottolaskuri'!$C$6-K33-G33</f>
        <v>24451.671442312429</v>
      </c>
      <c r="N33" s="15">
        <f>$N$32+(('Edistynyt vuokratuottolaskuri'!$I$7+$N$32)*'Edistynyt vuokratuottolaskuri'!$C$9*(1-'Edistynyt vuokratuottolaskuri'!$C$41))</f>
        <v>0</v>
      </c>
      <c r="O33" s="15">
        <f>-'Edistynyt vuokratuottolaskuri'!$C$10*('Edistynyt vuokratuottolaskuri'!$I$7+N33-('Edistynyt vuokratuottolaskuri'!$I$17-(N33*Veroaste)))/12</f>
        <v>0</v>
      </c>
      <c r="P33" s="15">
        <f>P32+'Edistynyt vuokratuottolaskuri'!$I$19+N33+O33</f>
        <v>782.26611823881171</v>
      </c>
      <c r="Q33" s="15">
        <f>IF(P32&gt;0,(P32*('Edistynyt vuokratuottolaskuri'!$F$7/12)),0)</f>
        <v>4.0689007679938198</v>
      </c>
      <c r="R33" s="15">
        <f>P32</f>
        <v>750.97547350925925</v>
      </c>
      <c r="S33" s="15">
        <f>(IF(C33&gt;=$C$9,C33,$C$9))-L32-'Edistynyt vuokratuottolaskuri'!$C$28</f>
        <v>10758.965135100152</v>
      </c>
      <c r="T33" s="15">
        <f>R33+S33</f>
        <v>11509.940608609411</v>
      </c>
      <c r="U33" s="15">
        <f>(R21+(S21*'Edistynyt vuokratuottolaskuri'!$C$42)+U21)*0.1+U21</f>
        <v>536.46682282749703</v>
      </c>
      <c r="V33" s="15">
        <f>T33+U33</f>
        <v>12046.407431436908</v>
      </c>
      <c r="W33" s="15">
        <f>W32+'Edistynyt vuokratuottolaskuri'!$I$19+Q33+N33</f>
        <v>833.12737783873445</v>
      </c>
      <c r="X33" s="15"/>
    </row>
    <row r="34" spans="1:24" x14ac:dyDescent="0.2">
      <c r="B34" s="2">
        <v>26</v>
      </c>
      <c r="C34" s="15">
        <f>C22+('Edistynyt vuokratuottolaskuri'!$C$52*C22)</f>
        <v>78547.7</v>
      </c>
      <c r="D34" s="15">
        <f t="shared" si="7"/>
        <v>37854.52323644967</v>
      </c>
      <c r="E34" s="15">
        <f>-PMT(('Edistynyt vuokratuottolaskuri'!$C$33/12),('Edistynyt vuokratuottolaskuri'!$C$34*12),('Edistynyt vuokratuottolaskuri'!$C$29+'Edistynyt vuokratuottolaskuri'!$C$35),0,0)</f>
        <v>209.63805404269655</v>
      </c>
      <c r="F34" s="15">
        <f>E34-(D34*('Edistynyt vuokratuottolaskuri'!$C$33/12))</f>
        <v>146.54718198194709</v>
      </c>
      <c r="G34" s="15">
        <f>IF(Lyhennystapa="Annuiteetti",(D34-F34),IF(Lyhennystapa="Tasalyhennys",(D34-'Edistynyt vuokratuottolaskuri'!$C$38),IF(Lyhennystapa="Bullet",D33,"")))</f>
        <v>37707.976054467719</v>
      </c>
      <c r="H34" s="15">
        <f t="shared" si="5"/>
        <v>9693.8053212379054</v>
      </c>
      <c r="I34" s="15">
        <f>-PMT(('Edistynyt vuokratuottolaskuri'!$C$18/12),('Edistynyt vuokratuottolaskuri'!$C$19*12),('Edistynyt vuokratuottolaskuri'!$C$17),0,0)</f>
        <v>110.41614461107285</v>
      </c>
      <c r="J34" s="15">
        <f>I34-(H34*('Edistynyt vuokratuottolaskuri'!$C$18/12))</f>
        <v>94.25980240900968</v>
      </c>
      <c r="K34" s="15">
        <f t="shared" si="4"/>
        <v>9599.5455188288961</v>
      </c>
      <c r="L34" s="15">
        <f t="shared" si="1"/>
        <v>47307.521573296617</v>
      </c>
      <c r="M34" s="15">
        <f>'Edistynyt vuokratuottolaskuri'!$C$6-K34-G34</f>
        <v>24692.478426703383</v>
      </c>
      <c r="N34" s="15">
        <f>$N$32+(('Edistynyt vuokratuottolaskuri'!$I$7+$N$32)*'Edistynyt vuokratuottolaskuri'!$C$9*(1-'Edistynyt vuokratuottolaskuri'!$C$41))</f>
        <v>0</v>
      </c>
      <c r="O34" s="15">
        <f>-'Edistynyt vuokratuottolaskuri'!$C$10*('Edistynyt vuokratuottolaskuri'!$I$7+N34-('Edistynyt vuokratuottolaskuri'!$I$17-(N34*Veroaste)))/12</f>
        <v>0</v>
      </c>
      <c r="P34" s="15">
        <f>P33+'Edistynyt vuokratuottolaskuri'!$I$19+N34+O34</f>
        <v>813.55676296836418</v>
      </c>
      <c r="Q34" s="15">
        <f>IF(P33&gt;0,(P33*('Edistynyt vuokratuottolaskuri'!$F$7/12)),0)</f>
        <v>4.2384382999935619</v>
      </c>
      <c r="R34" s="15"/>
      <c r="S34" s="15"/>
      <c r="T34" s="15"/>
      <c r="U34" s="15"/>
      <c r="V34" s="15"/>
      <c r="W34" s="15">
        <f>W33+'Edistynyt vuokratuottolaskuri'!$I$19+Q34+N34</f>
        <v>868.65646086828053</v>
      </c>
    </row>
    <row r="35" spans="1:24" x14ac:dyDescent="0.2">
      <c r="B35" s="2">
        <v>27</v>
      </c>
      <c r="C35" s="15">
        <f>C23+('Edistynyt vuokratuottolaskuri'!$C$52*C23)</f>
        <v>78547.7</v>
      </c>
      <c r="D35" s="15">
        <f t="shared" si="7"/>
        <v>37707.976054467719</v>
      </c>
      <c r="E35" s="15">
        <f>-PMT(('Edistynyt vuokratuottolaskuri'!$C$33/12),('Edistynyt vuokratuottolaskuri'!$C$34*12),('Edistynyt vuokratuottolaskuri'!$C$29+'Edistynyt vuokratuottolaskuri'!$C$35),0,0)</f>
        <v>209.63805404269655</v>
      </c>
      <c r="F35" s="15">
        <f>E35-(D35*('Edistynyt vuokratuottolaskuri'!$C$33/12))</f>
        <v>146.79142728525034</v>
      </c>
      <c r="G35" s="15">
        <f>IF(Lyhennystapa="Annuiteetti",(D35-F35),IF(Lyhennystapa="Tasalyhennys",(D35-'Edistynyt vuokratuottolaskuri'!$C$38),IF(Lyhennystapa="Bullet",D34,"")))</f>
        <v>37561.184627182469</v>
      </c>
      <c r="H35" s="15">
        <f t="shared" si="5"/>
        <v>9599.5455188288961</v>
      </c>
      <c r="I35" s="15">
        <f>-PMT(('Edistynyt vuokratuottolaskuri'!$C$18/12),('Edistynyt vuokratuottolaskuri'!$C$19*12),('Edistynyt vuokratuottolaskuri'!$C$17),0,0)</f>
        <v>110.41614461107285</v>
      </c>
      <c r="J35" s="15">
        <f>I35-(H35*('Edistynyt vuokratuottolaskuri'!$C$18/12))</f>
        <v>94.416902079691354</v>
      </c>
      <c r="K35" s="15">
        <f t="shared" si="4"/>
        <v>9505.1286167492053</v>
      </c>
      <c r="L35" s="15">
        <f t="shared" si="1"/>
        <v>47066.313243931676</v>
      </c>
      <c r="M35" s="15">
        <f>'Edistynyt vuokratuottolaskuri'!$C$6-K35-G35</f>
        <v>24933.686756068324</v>
      </c>
      <c r="N35" s="15">
        <f>$N$32+(('Edistynyt vuokratuottolaskuri'!$I$7+$N$32)*'Edistynyt vuokratuottolaskuri'!$C$9*(1-'Edistynyt vuokratuottolaskuri'!$C$41))</f>
        <v>0</v>
      </c>
      <c r="O35" s="15">
        <f>-'Edistynyt vuokratuottolaskuri'!$C$10*('Edistynyt vuokratuottolaskuri'!$I$7+N35-('Edistynyt vuokratuottolaskuri'!$I$17-(N35*Veroaste)))/12</f>
        <v>0</v>
      </c>
      <c r="P35" s="15">
        <f>P34+'Edistynyt vuokratuottolaskuri'!$I$19+N35+O35</f>
        <v>844.84740769791665</v>
      </c>
      <c r="Q35" s="15">
        <f>IF(P34&gt;0,(P34*('Edistynyt vuokratuottolaskuri'!$F$7/12)),0)</f>
        <v>4.4079758319933049</v>
      </c>
      <c r="R35" s="15"/>
      <c r="S35" s="15"/>
      <c r="T35" s="15"/>
      <c r="U35" s="15"/>
      <c r="V35" s="15"/>
      <c r="W35" s="15">
        <f>W34+'Edistynyt vuokratuottolaskuri'!$I$19+Q35+N35</f>
        <v>904.35508142982633</v>
      </c>
    </row>
    <row r="36" spans="1:24" x14ac:dyDescent="0.2">
      <c r="B36" s="2">
        <v>28</v>
      </c>
      <c r="C36" s="15">
        <f>C24+('Edistynyt vuokratuottolaskuri'!$C$52*C24)</f>
        <v>78547.7</v>
      </c>
      <c r="D36" s="15">
        <f t="shared" si="7"/>
        <v>37561.184627182469</v>
      </c>
      <c r="E36" s="15">
        <f>-PMT(('Edistynyt vuokratuottolaskuri'!$C$33/12),('Edistynyt vuokratuottolaskuri'!$C$34*12),('Edistynyt vuokratuottolaskuri'!$C$29+'Edistynyt vuokratuottolaskuri'!$C$35),0,0)</f>
        <v>209.63805404269655</v>
      </c>
      <c r="F36" s="15">
        <f>E36-(D36*('Edistynyt vuokratuottolaskuri'!$C$33/12))</f>
        <v>147.03607966405912</v>
      </c>
      <c r="G36" s="15">
        <f>IF(Lyhennystapa="Annuiteetti",(D36-F36),IF(Lyhennystapa="Tasalyhennys",(D36-'Edistynyt vuokratuottolaskuri'!$C$38),IF(Lyhennystapa="Bullet",D35,"")))</f>
        <v>37414.148547518409</v>
      </c>
      <c r="H36" s="15">
        <f t="shared" si="5"/>
        <v>9505.1286167492053</v>
      </c>
      <c r="I36" s="15">
        <f>-PMT(('Edistynyt vuokratuottolaskuri'!$C$18/12),('Edistynyt vuokratuottolaskuri'!$C$19*12),('Edistynyt vuokratuottolaskuri'!$C$17),0,0)</f>
        <v>110.41614461107285</v>
      </c>
      <c r="J36" s="15">
        <f>I36-(H36*('Edistynyt vuokratuottolaskuri'!$C$18/12))</f>
        <v>94.574263583157503</v>
      </c>
      <c r="K36" s="15">
        <f t="shared" si="4"/>
        <v>9410.5543531660478</v>
      </c>
      <c r="L36" s="15">
        <f t="shared" si="1"/>
        <v>46824.702900684453</v>
      </c>
      <c r="M36" s="15">
        <f>'Edistynyt vuokratuottolaskuri'!$C$6-K36-G36</f>
        <v>25175.29709931554</v>
      </c>
      <c r="N36" s="15">
        <f>$N$32+(('Edistynyt vuokratuottolaskuri'!$I$7+$N$32)*'Edistynyt vuokratuottolaskuri'!$C$9*(1-'Edistynyt vuokratuottolaskuri'!$C$41))</f>
        <v>0</v>
      </c>
      <c r="O36" s="15">
        <f>-'Edistynyt vuokratuottolaskuri'!$C$10*('Edistynyt vuokratuottolaskuri'!$I$7+N36-('Edistynyt vuokratuottolaskuri'!$I$17-(N36*Veroaste)))/12</f>
        <v>0</v>
      </c>
      <c r="P36" s="15">
        <f>P35+'Edistynyt vuokratuottolaskuri'!$I$19+N36+O36</f>
        <v>876.13805242746912</v>
      </c>
      <c r="Q36" s="15">
        <f>IF(P35&gt;0,(P35*('Edistynyt vuokratuottolaskuri'!$F$7/12)),0)</f>
        <v>4.577513363993047</v>
      </c>
      <c r="R36" s="15"/>
      <c r="S36" s="15"/>
      <c r="T36" s="15"/>
      <c r="U36" s="15"/>
      <c r="V36" s="15"/>
      <c r="W36" s="15">
        <f>W35+'Edistynyt vuokratuottolaskuri'!$I$19+Q36+N36</f>
        <v>940.22323952337183</v>
      </c>
    </row>
    <row r="37" spans="1:24" x14ac:dyDescent="0.2">
      <c r="B37" s="2">
        <v>29</v>
      </c>
      <c r="C37" s="15">
        <f>C25+('Edistynyt vuokratuottolaskuri'!$C$52*C25)</f>
        <v>78547.7</v>
      </c>
      <c r="D37" s="15">
        <f t="shared" si="7"/>
        <v>37414.148547518409</v>
      </c>
      <c r="E37" s="15">
        <f>-PMT(('Edistynyt vuokratuottolaskuri'!$C$33/12),('Edistynyt vuokratuottolaskuri'!$C$34*12),('Edistynyt vuokratuottolaskuri'!$C$29+'Edistynyt vuokratuottolaskuri'!$C$35),0,0)</f>
        <v>209.63805404269655</v>
      </c>
      <c r="F37" s="15">
        <f>E37-(D37*('Edistynyt vuokratuottolaskuri'!$C$33/12))</f>
        <v>147.28113979683252</v>
      </c>
      <c r="G37" s="15">
        <f>IF(Lyhennystapa="Annuiteetti",(D37-F37),IF(Lyhennystapa="Tasalyhennys",(D37-'Edistynyt vuokratuottolaskuri'!$C$38),IF(Lyhennystapa="Bullet",D36,"")))</f>
        <v>37266.867407721576</v>
      </c>
      <c r="H37" s="15">
        <f t="shared" si="5"/>
        <v>9410.5543531660478</v>
      </c>
      <c r="I37" s="15">
        <f>-PMT(('Edistynyt vuokratuottolaskuri'!$C$18/12),('Edistynyt vuokratuottolaskuri'!$C$19*12),('Edistynyt vuokratuottolaskuri'!$C$17),0,0)</f>
        <v>110.41614461107285</v>
      </c>
      <c r="J37" s="15">
        <f>I37-(H37*('Edistynyt vuokratuottolaskuri'!$C$18/12))</f>
        <v>94.731887355796104</v>
      </c>
      <c r="K37" s="15">
        <f t="shared" si="4"/>
        <v>9315.8224658102517</v>
      </c>
      <c r="L37" s="15">
        <f t="shared" si="1"/>
        <v>46582.689873531825</v>
      </c>
      <c r="M37" s="15">
        <f>'Edistynyt vuokratuottolaskuri'!$C$6-K37-G37</f>
        <v>25417.310126468168</v>
      </c>
      <c r="N37" s="15">
        <f>$N$32+(('Edistynyt vuokratuottolaskuri'!$I$7+$N$32)*'Edistynyt vuokratuottolaskuri'!$C$9*(1-'Edistynyt vuokratuottolaskuri'!$C$41))</f>
        <v>0</v>
      </c>
      <c r="O37" s="15">
        <f>-'Edistynyt vuokratuottolaskuri'!$C$10*('Edistynyt vuokratuottolaskuri'!$I$7+N37-('Edistynyt vuokratuottolaskuri'!$I$17-(N37*Veroaste)))/12</f>
        <v>0</v>
      </c>
      <c r="P37" s="15">
        <f>P36+'Edistynyt vuokratuottolaskuri'!$I$19+N37+O37</f>
        <v>907.42869715702159</v>
      </c>
      <c r="Q37" s="15">
        <f>IF(P36&gt;0,(P36*('Edistynyt vuokratuottolaskuri'!$F$7/12)),0)</f>
        <v>4.74705089599279</v>
      </c>
      <c r="R37" s="15"/>
      <c r="S37" s="15"/>
      <c r="T37" s="15"/>
      <c r="U37" s="15"/>
      <c r="V37" s="15"/>
      <c r="W37" s="15">
        <f>W36+'Edistynyt vuokratuottolaskuri'!$I$19+Q37+N37</f>
        <v>976.26093514891704</v>
      </c>
    </row>
    <row r="38" spans="1:24" x14ac:dyDescent="0.2">
      <c r="B38" s="2">
        <v>30</v>
      </c>
      <c r="C38" s="15">
        <f>C26+('Edistynyt vuokratuottolaskuri'!$C$52*C26)</f>
        <v>78547.7</v>
      </c>
      <c r="D38" s="15">
        <f t="shared" si="7"/>
        <v>37266.867407721576</v>
      </c>
      <c r="E38" s="15">
        <f>-PMT(('Edistynyt vuokratuottolaskuri'!$C$33/12),('Edistynyt vuokratuottolaskuri'!$C$34*12),('Edistynyt vuokratuottolaskuri'!$C$29+'Edistynyt vuokratuottolaskuri'!$C$35),0,0)</f>
        <v>209.63805404269655</v>
      </c>
      <c r="F38" s="15">
        <f>E38-(D38*('Edistynyt vuokratuottolaskuri'!$C$33/12))</f>
        <v>147.52660836316059</v>
      </c>
      <c r="G38" s="15">
        <f>IF(Lyhennystapa="Annuiteetti",(D38-F38),IF(Lyhennystapa="Tasalyhennys",(D38-'Edistynyt vuokratuottolaskuri'!$C$38),IF(Lyhennystapa="Bullet",D37,"")))</f>
        <v>37119.340799358419</v>
      </c>
      <c r="H38" s="15">
        <f t="shared" si="5"/>
        <v>9315.8224658102517</v>
      </c>
      <c r="I38" s="15">
        <f>-PMT(('Edistynyt vuokratuottolaskuri'!$C$18/12),('Edistynyt vuokratuottolaskuri'!$C$19*12),('Edistynyt vuokratuottolaskuri'!$C$17),0,0)</f>
        <v>110.41614461107285</v>
      </c>
      <c r="J38" s="15">
        <f>I38-(H38*('Edistynyt vuokratuottolaskuri'!$C$18/12))</f>
        <v>94.889773834722433</v>
      </c>
      <c r="K38" s="15">
        <f t="shared" si="4"/>
        <v>9220.9326919755295</v>
      </c>
      <c r="L38" s="15">
        <f t="shared" si="1"/>
        <v>46340.273491333952</v>
      </c>
      <c r="M38" s="15">
        <f>'Edistynyt vuokratuottolaskuri'!$C$6-K38-G38</f>
        <v>25659.726508666055</v>
      </c>
      <c r="N38" s="15">
        <f>$N$32+(('Edistynyt vuokratuottolaskuri'!$I$7+$N$32)*'Edistynyt vuokratuottolaskuri'!$C$9*(1-'Edistynyt vuokratuottolaskuri'!$C$41))</f>
        <v>0</v>
      </c>
      <c r="O38" s="15">
        <f>-'Edistynyt vuokratuottolaskuri'!$C$10*('Edistynyt vuokratuottolaskuri'!$I$7+N38-('Edistynyt vuokratuottolaskuri'!$I$17-(N38*Veroaste)))/12</f>
        <v>0</v>
      </c>
      <c r="P38" s="15">
        <f>P37+'Edistynyt vuokratuottolaskuri'!$I$19+N38+O38</f>
        <v>938.71934188657406</v>
      </c>
      <c r="Q38" s="15">
        <f>IF(P37&gt;0,(P37*('Edistynyt vuokratuottolaskuri'!$F$7/12)),0)</f>
        <v>4.916588427992532</v>
      </c>
      <c r="R38" s="15"/>
      <c r="S38" s="15"/>
      <c r="T38" s="15"/>
      <c r="U38" s="15"/>
      <c r="V38" s="15"/>
      <c r="W38" s="15">
        <f>W37+'Edistynyt vuokratuottolaskuri'!$I$19+Q38+N38</f>
        <v>1012.4681683064621</v>
      </c>
    </row>
    <row r="39" spans="1:24" x14ac:dyDescent="0.2">
      <c r="B39" s="2">
        <v>31</v>
      </c>
      <c r="C39" s="15">
        <f>C27+('Edistynyt vuokratuottolaskuri'!$C$52*C27)</f>
        <v>78547.7</v>
      </c>
      <c r="D39" s="15">
        <f t="shared" si="7"/>
        <v>37119.340799358419</v>
      </c>
      <c r="E39" s="15">
        <f>-PMT(('Edistynyt vuokratuottolaskuri'!$C$33/12),('Edistynyt vuokratuottolaskuri'!$C$34*12),('Edistynyt vuokratuottolaskuri'!$C$29+'Edistynyt vuokratuottolaskuri'!$C$35),0,0)</f>
        <v>209.63805404269655</v>
      </c>
      <c r="F39" s="15">
        <f>E39-(D39*('Edistynyt vuokratuottolaskuri'!$C$33/12))</f>
        <v>147.77248604376587</v>
      </c>
      <c r="G39" s="15">
        <f>IF(Lyhennystapa="Annuiteetti",(D39-F39),IF(Lyhennystapa="Tasalyhennys",(D39-'Edistynyt vuokratuottolaskuri'!$C$38),IF(Lyhennystapa="Bullet",D38,"")))</f>
        <v>36971.568313314652</v>
      </c>
      <c r="H39" s="15">
        <f t="shared" si="5"/>
        <v>9220.9326919755295</v>
      </c>
      <c r="I39" s="15">
        <f>-PMT(('Edistynyt vuokratuottolaskuri'!$C$18/12),('Edistynyt vuokratuottolaskuri'!$C$19*12),('Edistynyt vuokratuottolaskuri'!$C$17),0,0)</f>
        <v>110.41614461107285</v>
      </c>
      <c r="J39" s="15">
        <f>I39-(H39*('Edistynyt vuokratuottolaskuri'!$C$18/12))</f>
        <v>95.0479234577803</v>
      </c>
      <c r="K39" s="15">
        <f t="shared" si="4"/>
        <v>9125.8847685177498</v>
      </c>
      <c r="L39" s="15">
        <f t="shared" si="1"/>
        <v>46097.453081832398</v>
      </c>
      <c r="M39" s="15">
        <f>'Edistynyt vuokratuottolaskuri'!$C$6-K39-G39</f>
        <v>25902.546918167602</v>
      </c>
      <c r="N39" s="15">
        <f>$N$32+(('Edistynyt vuokratuottolaskuri'!$I$7+$N$32)*'Edistynyt vuokratuottolaskuri'!$C$9*(1-'Edistynyt vuokratuottolaskuri'!$C$41))</f>
        <v>0</v>
      </c>
      <c r="O39" s="15">
        <f>-'Edistynyt vuokratuottolaskuri'!$C$10*('Edistynyt vuokratuottolaskuri'!$I$7+N39-('Edistynyt vuokratuottolaskuri'!$I$17-(N39*Veroaste)))/12</f>
        <v>0</v>
      </c>
      <c r="P39" s="15">
        <f>P38+'Edistynyt vuokratuottolaskuri'!$I$19+N39+O39</f>
        <v>970.00998661612653</v>
      </c>
      <c r="Q39" s="15">
        <f>IF(P38&gt;0,(P38*('Edistynyt vuokratuottolaskuri'!$F$7/12)),0)</f>
        <v>5.086125959992275</v>
      </c>
      <c r="R39" s="15"/>
      <c r="S39" s="15"/>
      <c r="T39" s="15"/>
      <c r="U39" s="15"/>
      <c r="V39" s="15"/>
      <c r="W39" s="15">
        <f>W38+'Edistynyt vuokratuottolaskuri'!$I$19+Q39+N39</f>
        <v>1048.8449389960069</v>
      </c>
    </row>
    <row r="40" spans="1:24" x14ac:dyDescent="0.2">
      <c r="B40" s="2">
        <v>32</v>
      </c>
      <c r="C40" s="15">
        <f>C28+('Edistynyt vuokratuottolaskuri'!$C$52*C28)</f>
        <v>78547.7</v>
      </c>
      <c r="D40" s="15">
        <f t="shared" si="7"/>
        <v>36971.568313314652</v>
      </c>
      <c r="E40" s="15">
        <f>-PMT(('Edistynyt vuokratuottolaskuri'!$C$33/12),('Edistynyt vuokratuottolaskuri'!$C$34*12),('Edistynyt vuokratuottolaskuri'!$C$29+'Edistynyt vuokratuottolaskuri'!$C$35),0,0)</f>
        <v>209.63805404269655</v>
      </c>
      <c r="F40" s="15">
        <f>E40-(D40*('Edistynyt vuokratuottolaskuri'!$C$33/12))</f>
        <v>148.01877352050548</v>
      </c>
      <c r="G40" s="15">
        <f>IF(Lyhennystapa="Annuiteetti",(D40-F40),IF(Lyhennystapa="Tasalyhennys",(D40-'Edistynyt vuokratuottolaskuri'!$C$38),IF(Lyhennystapa="Bullet",D39,"")))</f>
        <v>36823.549539794149</v>
      </c>
      <c r="H40" s="15">
        <f t="shared" si="5"/>
        <v>9125.8847685177498</v>
      </c>
      <c r="I40" s="15">
        <f>-PMT(('Edistynyt vuokratuottolaskuri'!$C$18/12),('Edistynyt vuokratuottolaskuri'!$C$19*12),('Edistynyt vuokratuottolaskuri'!$C$17),0,0)</f>
        <v>110.41614461107285</v>
      </c>
      <c r="J40" s="15">
        <f>I40-(H40*('Edistynyt vuokratuottolaskuri'!$C$18/12))</f>
        <v>95.206336663543269</v>
      </c>
      <c r="K40" s="15">
        <f t="shared" si="4"/>
        <v>9030.6784318542068</v>
      </c>
      <c r="L40" s="15">
        <f t="shared" si="1"/>
        <v>45854.227971648354</v>
      </c>
      <c r="M40" s="15">
        <f>'Edistynyt vuokratuottolaskuri'!$C$6-K40-G40</f>
        <v>26145.772028351646</v>
      </c>
      <c r="N40" s="15">
        <f>$N$32+(('Edistynyt vuokratuottolaskuri'!$I$7+$N$32)*'Edistynyt vuokratuottolaskuri'!$C$9*(1-'Edistynyt vuokratuottolaskuri'!$C$41))</f>
        <v>0</v>
      </c>
      <c r="O40" s="15">
        <f>-'Edistynyt vuokratuottolaskuri'!$C$10*('Edistynyt vuokratuottolaskuri'!$I$7+N40-('Edistynyt vuokratuottolaskuri'!$I$17-(N40*Veroaste)))/12</f>
        <v>0</v>
      </c>
      <c r="P40" s="15">
        <f>P39+'Edistynyt vuokratuottolaskuri'!$I$19+N40+O40</f>
        <v>1001.300631345679</v>
      </c>
      <c r="Q40" s="15">
        <f>IF(P39&gt;0,(P39*('Edistynyt vuokratuottolaskuri'!$F$7/12)),0)</f>
        <v>5.2556634919920171</v>
      </c>
      <c r="R40" s="15"/>
      <c r="S40" s="15"/>
      <c r="T40" s="15"/>
      <c r="U40" s="15"/>
      <c r="V40" s="15"/>
      <c r="W40" s="15">
        <f>W39+'Edistynyt vuokratuottolaskuri'!$I$19+Q40+N40</f>
        <v>1085.3912472175514</v>
      </c>
    </row>
    <row r="41" spans="1:24" x14ac:dyDescent="0.2">
      <c r="B41" s="2">
        <v>33</v>
      </c>
      <c r="C41" s="15">
        <f>C29+('Edistynyt vuokratuottolaskuri'!$C$52*C29)</f>
        <v>78547.7</v>
      </c>
      <c r="D41" s="15">
        <f t="shared" si="7"/>
        <v>36823.549539794149</v>
      </c>
      <c r="E41" s="15">
        <f>-PMT(('Edistynyt vuokratuottolaskuri'!$C$33/12),('Edistynyt vuokratuottolaskuri'!$C$34*12),('Edistynyt vuokratuottolaskuri'!$C$29+'Edistynyt vuokratuottolaskuri'!$C$35),0,0)</f>
        <v>209.63805404269655</v>
      </c>
      <c r="F41" s="15">
        <f>E41-(D41*('Edistynyt vuokratuottolaskuri'!$C$33/12))</f>
        <v>148.26547147637297</v>
      </c>
      <c r="G41" s="15">
        <f>IF(Lyhennystapa="Annuiteetti",(D41-F41),IF(Lyhennystapa="Tasalyhennys",(D41-'Edistynyt vuokratuottolaskuri'!$C$38),IF(Lyhennystapa="Bullet",D40,"")))</f>
        <v>36675.284068317778</v>
      </c>
      <c r="H41" s="15">
        <f t="shared" si="5"/>
        <v>9030.6784318542068</v>
      </c>
      <c r="I41" s="15">
        <f>-PMT(('Edistynyt vuokratuottolaskuri'!$C$18/12),('Edistynyt vuokratuottolaskuri'!$C$19*12),('Edistynyt vuokratuottolaskuri'!$C$17),0,0)</f>
        <v>110.41614461107285</v>
      </c>
      <c r="J41" s="15">
        <f>I41-(H41*('Edistynyt vuokratuottolaskuri'!$C$18/12))</f>
        <v>95.36501389131584</v>
      </c>
      <c r="K41" s="15">
        <f t="shared" si="4"/>
        <v>8935.3134179628905</v>
      </c>
      <c r="L41" s="15">
        <f t="shared" si="1"/>
        <v>45610.597486280669</v>
      </c>
      <c r="M41" s="15">
        <f>'Edistynyt vuokratuottolaskuri'!$C$6-K41-G41</f>
        <v>26389.402513719331</v>
      </c>
      <c r="N41" s="15">
        <f>$N$32+(('Edistynyt vuokratuottolaskuri'!$I$7+$N$32)*'Edistynyt vuokratuottolaskuri'!$C$9*(1-'Edistynyt vuokratuottolaskuri'!$C$41))</f>
        <v>0</v>
      </c>
      <c r="O41" s="15">
        <f>-'Edistynyt vuokratuottolaskuri'!$C$10*('Edistynyt vuokratuottolaskuri'!$I$7+N41-('Edistynyt vuokratuottolaskuri'!$I$17-(N41*Veroaste)))/12</f>
        <v>0</v>
      </c>
      <c r="P41" s="15">
        <f>P40+'Edistynyt vuokratuottolaskuri'!$I$19+N41+O41</f>
        <v>1032.5912760752315</v>
      </c>
      <c r="Q41" s="15">
        <f>IF(P40&gt;0,(P40*('Edistynyt vuokratuottolaskuri'!$F$7/12)),0)</f>
        <v>5.4252010239917601</v>
      </c>
      <c r="R41" s="15"/>
      <c r="S41" s="15"/>
      <c r="T41" s="15"/>
      <c r="U41" s="15"/>
      <c r="V41" s="15"/>
      <c r="W41" s="15">
        <f>W40+'Edistynyt vuokratuottolaskuri'!$I$19+Q41+N41</f>
        <v>1122.1070929710957</v>
      </c>
    </row>
    <row r="42" spans="1:24" x14ac:dyDescent="0.2">
      <c r="B42" s="2">
        <v>34</v>
      </c>
      <c r="C42" s="15">
        <f>C30+('Edistynyt vuokratuottolaskuri'!$C$52*C30)</f>
        <v>78547.7</v>
      </c>
      <c r="D42" s="15">
        <f t="shared" si="7"/>
        <v>36675.284068317778</v>
      </c>
      <c r="E42" s="15">
        <f>-PMT(('Edistynyt vuokratuottolaskuri'!$C$33/12),('Edistynyt vuokratuottolaskuri'!$C$34*12),('Edistynyt vuokratuottolaskuri'!$C$29+'Edistynyt vuokratuottolaskuri'!$C$35),0,0)</f>
        <v>209.63805404269655</v>
      </c>
      <c r="F42" s="15">
        <f>E42-(D42*('Edistynyt vuokratuottolaskuri'!$C$33/12))</f>
        <v>148.51258059550025</v>
      </c>
      <c r="G42" s="15">
        <f>IF(Lyhennystapa="Annuiteetti",(D42-F42),IF(Lyhennystapa="Tasalyhennys",(D42-'Edistynyt vuokratuottolaskuri'!$C$38),IF(Lyhennystapa="Bullet",D41,"")))</f>
        <v>36526.771487722275</v>
      </c>
      <c r="H42" s="15">
        <f t="shared" si="5"/>
        <v>8935.3134179628905</v>
      </c>
      <c r="I42" s="15">
        <f>-PMT(('Edistynyt vuokratuottolaskuri'!$C$18/12),('Edistynyt vuokratuottolaskuri'!$C$19*12),('Edistynyt vuokratuottolaskuri'!$C$17),0,0)</f>
        <v>110.41614461107285</v>
      </c>
      <c r="J42" s="15">
        <f>I42-(H42*('Edistynyt vuokratuottolaskuri'!$C$18/12))</f>
        <v>95.5239555811347</v>
      </c>
      <c r="K42" s="15">
        <f t="shared" si="4"/>
        <v>8839.7894623817556</v>
      </c>
      <c r="L42" s="15">
        <f t="shared" si="1"/>
        <v>45366.560950104031</v>
      </c>
      <c r="M42" s="15">
        <f>'Edistynyt vuokratuottolaskuri'!$C$6-K42-G42</f>
        <v>26633.439049895969</v>
      </c>
      <c r="N42" s="15">
        <f>$N$32+(('Edistynyt vuokratuottolaskuri'!$I$7+$N$32)*'Edistynyt vuokratuottolaskuri'!$C$9*(1-'Edistynyt vuokratuottolaskuri'!$C$41))</f>
        <v>0</v>
      </c>
      <c r="O42" s="15">
        <f>-'Edistynyt vuokratuottolaskuri'!$C$10*('Edistynyt vuokratuottolaskuri'!$I$7+N42-('Edistynyt vuokratuottolaskuri'!$I$17-(N42*Veroaste)))/12</f>
        <v>0</v>
      </c>
      <c r="P42" s="15">
        <f>P41+'Edistynyt vuokratuottolaskuri'!$I$19+N42+O42</f>
        <v>1063.8819208047839</v>
      </c>
      <c r="Q42" s="15">
        <f>IF(P41&gt;0,(P41*('Edistynyt vuokratuottolaskuri'!$F$7/12)),0)</f>
        <v>5.5947385559915022</v>
      </c>
      <c r="R42" s="15"/>
      <c r="S42" s="15"/>
      <c r="T42" s="15"/>
      <c r="U42" s="15"/>
      <c r="V42" s="15"/>
      <c r="W42" s="15">
        <f>W41+'Edistynyt vuokratuottolaskuri'!$I$19+Q42+N42</f>
        <v>1158.9924762566395</v>
      </c>
    </row>
    <row r="43" spans="1:24" x14ac:dyDescent="0.2">
      <c r="B43" s="2">
        <v>35</v>
      </c>
      <c r="C43" s="15">
        <f>C31+('Edistynyt vuokratuottolaskuri'!$C$52*C31)</f>
        <v>78547.7</v>
      </c>
      <c r="D43" s="15">
        <f t="shared" si="7"/>
        <v>36526.771487722275</v>
      </c>
      <c r="E43" s="15">
        <f>-PMT(('Edistynyt vuokratuottolaskuri'!$C$33/12),('Edistynyt vuokratuottolaskuri'!$C$34*12),('Edistynyt vuokratuottolaskuri'!$C$29+'Edistynyt vuokratuottolaskuri'!$C$35),0,0)</f>
        <v>209.63805404269655</v>
      </c>
      <c r="F43" s="15">
        <f>E43-(D43*('Edistynyt vuokratuottolaskuri'!$C$33/12))</f>
        <v>148.76010156315942</v>
      </c>
      <c r="G43" s="15">
        <f>IF(Lyhennystapa="Annuiteetti",(D43-F43),IF(Lyhennystapa="Tasalyhennys",(D43-'Edistynyt vuokratuottolaskuri'!$C$38),IF(Lyhennystapa="Bullet",D42,"")))</f>
        <v>36378.011386159116</v>
      </c>
      <c r="H43" s="15">
        <f t="shared" si="5"/>
        <v>8839.7894623817556</v>
      </c>
      <c r="I43" s="15">
        <f>-PMT(('Edistynyt vuokratuottolaskuri'!$C$18/12),('Edistynyt vuokratuottolaskuri'!$C$19*12),('Edistynyt vuokratuottolaskuri'!$C$17),0,0)</f>
        <v>110.41614461107285</v>
      </c>
      <c r="J43" s="15">
        <f>I43-(H43*('Edistynyt vuokratuottolaskuri'!$C$18/12))</f>
        <v>95.683162173769929</v>
      </c>
      <c r="K43" s="15">
        <f t="shared" si="4"/>
        <v>8744.1063002079864</v>
      </c>
      <c r="L43" s="15">
        <f t="shared" si="1"/>
        <v>45122.117686367099</v>
      </c>
      <c r="M43" s="15">
        <f>'Edistynyt vuokratuottolaskuri'!$C$6-K43-G43</f>
        <v>26877.882313632894</v>
      </c>
      <c r="N43" s="15">
        <f>$N$32+(('Edistynyt vuokratuottolaskuri'!$I$7+$N$32)*'Edistynyt vuokratuottolaskuri'!$C$9*(1-'Edistynyt vuokratuottolaskuri'!$C$41))</f>
        <v>0</v>
      </c>
      <c r="O43" s="15">
        <f>-'Edistynyt vuokratuottolaskuri'!$C$10*('Edistynyt vuokratuottolaskuri'!$I$7+N43-('Edistynyt vuokratuottolaskuri'!$I$17-(N43*Veroaste)))/12</f>
        <v>0</v>
      </c>
      <c r="P43" s="15">
        <f>P42+'Edistynyt vuokratuottolaskuri'!$I$19+N43+O43</f>
        <v>1095.1725655343364</v>
      </c>
      <c r="Q43" s="15">
        <f>IF(P42&gt;0,(P42*('Edistynyt vuokratuottolaskuri'!$F$7/12)),0)</f>
        <v>5.7642760879912442</v>
      </c>
      <c r="R43" s="15"/>
      <c r="S43" s="15"/>
      <c r="T43" s="15"/>
      <c r="U43" s="15"/>
      <c r="V43" s="15"/>
      <c r="W43" s="15">
        <f>W42+'Edistynyt vuokratuottolaskuri'!$I$19+Q43+N43</f>
        <v>1196.0473970741832</v>
      </c>
    </row>
    <row r="44" spans="1:24" x14ac:dyDescent="0.2">
      <c r="B44" s="2">
        <v>36</v>
      </c>
      <c r="C44" s="15">
        <f>C32+('Edistynyt vuokratuottolaskuri'!$C$52*C32)</f>
        <v>78547.7</v>
      </c>
      <c r="D44" s="15">
        <f t="shared" ref="D44:D52" si="8">G43</f>
        <v>36378.011386159116</v>
      </c>
      <c r="E44" s="15">
        <f>-PMT(('Edistynyt vuokratuottolaskuri'!$C$33/12),('Edistynyt vuokratuottolaskuri'!$C$34*12),('Edistynyt vuokratuottolaskuri'!$C$29+'Edistynyt vuokratuottolaskuri'!$C$35),0,0)</f>
        <v>209.63805404269655</v>
      </c>
      <c r="F44" s="15">
        <f>E44-(D44*('Edistynyt vuokratuottolaskuri'!$C$33/12))</f>
        <v>149.00803506576469</v>
      </c>
      <c r="G44" s="15">
        <f>IF(Lyhennystapa="Annuiteetti",(D44-F44),IF(Lyhennystapa="Tasalyhennys",(D44-'Edistynyt vuokratuottolaskuri'!$C$38),IF(Lyhennystapa="Bullet",D43,"")))</f>
        <v>36229.00335109335</v>
      </c>
      <c r="H44" s="15">
        <f t="shared" si="5"/>
        <v>8744.1063002079864</v>
      </c>
      <c r="I44" s="15">
        <f>-PMT(('Edistynyt vuokratuottolaskuri'!$C$18/12),('Edistynyt vuokratuottolaskuri'!$C$19*12),('Edistynyt vuokratuottolaskuri'!$C$17),0,0)</f>
        <v>110.41614461107285</v>
      </c>
      <c r="J44" s="15">
        <f>I44-(H44*('Edistynyt vuokratuottolaskuri'!$C$18/12))</f>
        <v>95.842634110726209</v>
      </c>
      <c r="K44" s="15">
        <f t="shared" si="4"/>
        <v>8648.2636660972603</v>
      </c>
      <c r="L44" s="15">
        <f t="shared" si="1"/>
        <v>44877.267017190607</v>
      </c>
      <c r="M44" s="15">
        <f>'Edistynyt vuokratuottolaskuri'!$C$6-K44-G44</f>
        <v>27122.732982809386</v>
      </c>
      <c r="N44" s="15">
        <f>$N$32+(('Edistynyt vuokratuottolaskuri'!$I$7+$N$32)*'Edistynyt vuokratuottolaskuri'!$C$9*(1-'Edistynyt vuokratuottolaskuri'!$C$41))</f>
        <v>0</v>
      </c>
      <c r="O44" s="15">
        <f>-'Edistynyt vuokratuottolaskuri'!$C$10*('Edistynyt vuokratuottolaskuri'!$I$7+N44-('Edistynyt vuokratuottolaskuri'!$I$17-(N44*Veroaste)))/12</f>
        <v>0</v>
      </c>
      <c r="P44" s="15">
        <f>P43+'Edistynyt vuokratuottolaskuri'!$I$19+N44+O44</f>
        <v>1126.4632102638889</v>
      </c>
      <c r="Q44" s="15">
        <f>IF(P43&gt;0,(P43*('Edistynyt vuokratuottolaskuri'!$F$7/12)),0)</f>
        <v>5.9338136199909872</v>
      </c>
      <c r="R44" s="15"/>
      <c r="S44" s="15"/>
      <c r="T44" s="15"/>
      <c r="U44" s="15"/>
      <c r="V44" s="15"/>
      <c r="W44" s="15">
        <f>W43+'Edistynyt vuokratuottolaskuri'!$I$19+Q44+N44</f>
        <v>1233.2718554237267</v>
      </c>
    </row>
    <row r="45" spans="1:24" x14ac:dyDescent="0.2">
      <c r="A45" s="2" t="s">
        <v>38</v>
      </c>
      <c r="B45" s="2">
        <v>37</v>
      </c>
      <c r="C45" s="15">
        <f>C33+('Edistynyt vuokratuottolaskuri'!$C$52*C33)</f>
        <v>79333.176999999996</v>
      </c>
      <c r="D45" s="15">
        <f t="shared" si="8"/>
        <v>36229.00335109335</v>
      </c>
      <c r="E45" s="15">
        <f>-PMT(('Edistynyt vuokratuottolaskuri'!$C$33/12),('Edistynyt vuokratuottolaskuri'!$C$34*12),('Edistynyt vuokratuottolaskuri'!$C$29+'Edistynyt vuokratuottolaskuri'!$C$35),0,0)</f>
        <v>209.63805404269655</v>
      </c>
      <c r="F45" s="15">
        <f>E45-(D45*('Edistynyt vuokratuottolaskuri'!$C$33/12))</f>
        <v>149.25638179087429</v>
      </c>
      <c r="G45" s="15">
        <f>IF(Lyhennystapa="Annuiteetti",(D45-F45),IF(Lyhennystapa="Tasalyhennys",(D45-'Edistynyt vuokratuottolaskuri'!$C$38),IF(Lyhennystapa="Bullet",D44,"")))</f>
        <v>36079.746969302476</v>
      </c>
      <c r="H45" s="15">
        <f t="shared" si="5"/>
        <v>8648.2636660972603</v>
      </c>
      <c r="I45" s="15">
        <f>-PMT(('Edistynyt vuokratuottolaskuri'!$C$18/12),('Edistynyt vuokratuottolaskuri'!$C$19*12),('Edistynyt vuokratuottolaskuri'!$C$17),0,0)</f>
        <v>110.41614461107285</v>
      </c>
      <c r="J45" s="15">
        <f>I45-(H45*('Edistynyt vuokratuottolaskuri'!$C$18/12))</f>
        <v>96.002371834244087</v>
      </c>
      <c r="K45" s="15">
        <f t="shared" si="4"/>
        <v>8552.2612942630167</v>
      </c>
      <c r="L45" s="15">
        <f t="shared" si="1"/>
        <v>44632.008263565491</v>
      </c>
      <c r="M45" s="15">
        <f>'Edistynyt vuokratuottolaskuri'!$C$6-K45-G45</f>
        <v>27367.991736434509</v>
      </c>
      <c r="N45" s="15">
        <f>$N$44+(('Edistynyt vuokratuottolaskuri'!$I$7+$N$44)*'Edistynyt vuokratuottolaskuri'!$C$9*(1-'Edistynyt vuokratuottolaskuri'!$C$41))</f>
        <v>0</v>
      </c>
      <c r="O45" s="15">
        <f>-'Edistynyt vuokratuottolaskuri'!$C$10*('Edistynyt vuokratuottolaskuri'!$I$7+N45-('Edistynyt vuokratuottolaskuri'!$I$17-(N45*Veroaste)))/12</f>
        <v>0</v>
      </c>
      <c r="P45" s="15">
        <f>P44+'Edistynyt vuokratuottolaskuri'!$I$19+N45+O45</f>
        <v>1157.7538549934413</v>
      </c>
      <c r="Q45" s="15">
        <f>IF(P44&gt;0,(P44*('Edistynyt vuokratuottolaskuri'!$F$7/12)),0)</f>
        <v>6.1033511519907293</v>
      </c>
      <c r="R45" s="15">
        <f>P44</f>
        <v>1126.4632102638889</v>
      </c>
      <c r="S45" s="15">
        <f>(IF(C45&gt;=$C$9,C45,$C$9))-L44-'Edistynyt vuokratuottolaskuri'!$C$28</f>
        <v>14455.909982809389</v>
      </c>
      <c r="T45" s="15">
        <f>R45+S45</f>
        <v>15582.373193073279</v>
      </c>
      <c r="U45" s="15">
        <f>(R33+(S33*'Edistynyt vuokratuottolaskuri'!$C$42)+U33)*0.1+U33</f>
        <v>1418.3386119181832</v>
      </c>
      <c r="V45" s="15">
        <f>T45+U45</f>
        <v>17000.711804991464</v>
      </c>
      <c r="W45" s="15">
        <f>W44+'Edistynyt vuokratuottolaskuri'!$I$19+Q45+N45</f>
        <v>1270.6658513052698</v>
      </c>
    </row>
    <row r="46" spans="1:24" x14ac:dyDescent="0.2">
      <c r="B46" s="2">
        <v>38</v>
      </c>
      <c r="C46" s="15">
        <f>C34+('Edistynyt vuokratuottolaskuri'!$C$52*C34)</f>
        <v>79333.176999999996</v>
      </c>
      <c r="D46" s="15">
        <f t="shared" si="8"/>
        <v>36079.746969302476</v>
      </c>
      <c r="E46" s="15">
        <f>-PMT(('Edistynyt vuokratuottolaskuri'!$C$33/12),('Edistynyt vuokratuottolaskuri'!$C$34*12),('Edistynyt vuokratuottolaskuri'!$C$29+'Edistynyt vuokratuottolaskuri'!$C$35),0,0)</f>
        <v>209.63805404269655</v>
      </c>
      <c r="F46" s="15">
        <f>E46-(D46*('Edistynyt vuokratuottolaskuri'!$C$33/12))</f>
        <v>149.50514242719242</v>
      </c>
      <c r="G46" s="15">
        <f>IF(Lyhennystapa="Annuiteetti",(D46-F46),IF(Lyhennystapa="Tasalyhennys",(D46-'Edistynyt vuokratuottolaskuri'!$C$38),IF(Lyhennystapa="Bullet",D45,"")))</f>
        <v>35930.241826875281</v>
      </c>
      <c r="H46" s="15">
        <f t="shared" si="5"/>
        <v>8552.2612942630167</v>
      </c>
      <c r="I46" s="15">
        <f>-PMT(('Edistynyt vuokratuottolaskuri'!$C$18/12),('Edistynyt vuokratuottolaskuri'!$C$19*12),('Edistynyt vuokratuottolaskuri'!$C$17),0,0)</f>
        <v>110.41614461107285</v>
      </c>
      <c r="J46" s="15">
        <f>I46-(H46*('Edistynyt vuokratuottolaskuri'!$C$18/12))</f>
        <v>96.162375787301158</v>
      </c>
      <c r="K46" s="15">
        <f t="shared" si="4"/>
        <v>8456.0989184757163</v>
      </c>
      <c r="L46" s="15">
        <f t="shared" si="1"/>
        <v>44386.340745351001</v>
      </c>
      <c r="M46" s="15">
        <f>'Edistynyt vuokratuottolaskuri'!$C$6-K46-G46</f>
        <v>27613.659254648999</v>
      </c>
      <c r="N46" s="15">
        <f>$N$44+(('Edistynyt vuokratuottolaskuri'!$I$7+$N$44)*'Edistynyt vuokratuottolaskuri'!$C$9*(1-'Edistynyt vuokratuottolaskuri'!$C$41))</f>
        <v>0</v>
      </c>
      <c r="O46" s="15">
        <f>-'Edistynyt vuokratuottolaskuri'!$C$10*('Edistynyt vuokratuottolaskuri'!$I$7+N46-('Edistynyt vuokratuottolaskuri'!$I$17-(N46*Veroaste)))/12</f>
        <v>0</v>
      </c>
      <c r="P46" s="15">
        <f>P45+'Edistynyt vuokratuottolaskuri'!$I$19+N46+O46</f>
        <v>1189.0444997229938</v>
      </c>
      <c r="Q46" s="15">
        <f>IF(P45&gt;0,(P45*('Edistynyt vuokratuottolaskuri'!$F$7/12)),0)</f>
        <v>6.2728886839904723</v>
      </c>
      <c r="R46" s="15"/>
      <c r="S46" s="15"/>
      <c r="T46" s="15"/>
      <c r="U46" s="15"/>
      <c r="V46" s="15"/>
      <c r="W46" s="15">
        <f>W45+'Edistynyt vuokratuottolaskuri'!$I$19+Q46+N46</f>
        <v>1308.2293847188128</v>
      </c>
    </row>
    <row r="47" spans="1:24" x14ac:dyDescent="0.2">
      <c r="B47" s="2">
        <v>39</v>
      </c>
      <c r="C47" s="15">
        <f>C35+('Edistynyt vuokratuottolaskuri'!$C$52*C35)</f>
        <v>79333.176999999996</v>
      </c>
      <c r="D47" s="15">
        <f t="shared" si="8"/>
        <v>35930.241826875281</v>
      </c>
      <c r="E47" s="15">
        <f>-PMT(('Edistynyt vuokratuottolaskuri'!$C$33/12),('Edistynyt vuokratuottolaskuri'!$C$34*12),('Edistynyt vuokratuottolaskuri'!$C$29+'Edistynyt vuokratuottolaskuri'!$C$35),0,0)</f>
        <v>209.63805404269655</v>
      </c>
      <c r="F47" s="15">
        <f>E47-(D47*('Edistynyt vuokratuottolaskuri'!$C$33/12))</f>
        <v>149.75431766457109</v>
      </c>
      <c r="G47" s="15">
        <f>IF(Lyhennystapa="Annuiteetti",(D47-F47),IF(Lyhennystapa="Tasalyhennys",(D47-'Edistynyt vuokratuottolaskuri'!$C$38),IF(Lyhennystapa="Bullet",D46,"")))</f>
        <v>35780.48750921071</v>
      </c>
      <c r="H47" s="15">
        <f t="shared" si="5"/>
        <v>8456.0989184757163</v>
      </c>
      <c r="I47" s="15">
        <f>-PMT(('Edistynyt vuokratuottolaskuri'!$C$18/12),('Edistynyt vuokratuottolaskuri'!$C$19*12),('Edistynyt vuokratuottolaskuri'!$C$17),0,0)</f>
        <v>110.41614461107285</v>
      </c>
      <c r="J47" s="15">
        <f>I47-(H47*('Edistynyt vuokratuottolaskuri'!$C$18/12))</f>
        <v>96.322646413613327</v>
      </c>
      <c r="K47" s="15">
        <f t="shared" si="4"/>
        <v>8359.7762720621031</v>
      </c>
      <c r="L47" s="15">
        <f t="shared" si="1"/>
        <v>44140.263781272814</v>
      </c>
      <c r="M47" s="15">
        <f>'Edistynyt vuokratuottolaskuri'!$C$6-K47-G47</f>
        <v>27859.736218727186</v>
      </c>
      <c r="N47" s="15">
        <f>$N$44+(('Edistynyt vuokratuottolaskuri'!$I$7+$N$44)*'Edistynyt vuokratuottolaskuri'!$C$9*(1-'Edistynyt vuokratuottolaskuri'!$C$41))</f>
        <v>0</v>
      </c>
      <c r="O47" s="15">
        <f>-'Edistynyt vuokratuottolaskuri'!$C$10*('Edistynyt vuokratuottolaskuri'!$I$7+N47-('Edistynyt vuokratuottolaskuri'!$I$17-(N47*Veroaste)))/12</f>
        <v>0</v>
      </c>
      <c r="P47" s="15">
        <f>P46+'Edistynyt vuokratuottolaskuri'!$I$19+N47+O47</f>
        <v>1220.3351444525463</v>
      </c>
      <c r="Q47" s="15">
        <f>IF(P46&gt;0,(P46*('Edistynyt vuokratuottolaskuri'!$F$7/12)),0)</f>
        <v>6.4424262159902144</v>
      </c>
      <c r="R47" s="15"/>
      <c r="S47" s="15"/>
      <c r="T47" s="15"/>
      <c r="U47" s="15"/>
      <c r="V47" s="15"/>
      <c r="W47" s="15">
        <f>W46+'Edistynyt vuokratuottolaskuri'!$I$19+Q47+N47</f>
        <v>1345.9624556643555</v>
      </c>
    </row>
    <row r="48" spans="1:24" x14ac:dyDescent="0.2">
      <c r="B48" s="2">
        <v>40</v>
      </c>
      <c r="C48" s="15">
        <f>C36+('Edistynyt vuokratuottolaskuri'!$C$52*C36)</f>
        <v>79333.176999999996</v>
      </c>
      <c r="D48" s="15">
        <f t="shared" si="8"/>
        <v>35780.48750921071</v>
      </c>
      <c r="E48" s="15">
        <f>-PMT(('Edistynyt vuokratuottolaskuri'!$C$33/12),('Edistynyt vuokratuottolaskuri'!$C$34*12),('Edistynyt vuokratuottolaskuri'!$C$29+'Edistynyt vuokratuottolaskuri'!$C$35),0,0)</f>
        <v>209.63805404269655</v>
      </c>
      <c r="F48" s="15">
        <f>E48-(D48*('Edistynyt vuokratuottolaskuri'!$C$33/12))</f>
        <v>150.00390819401204</v>
      </c>
      <c r="G48" s="15">
        <f>IF(Lyhennystapa="Annuiteetti",(D48-F48),IF(Lyhennystapa="Tasalyhennys",(D48-'Edistynyt vuokratuottolaskuri'!$C$38),IF(Lyhennystapa="Bullet",D47,"")))</f>
        <v>35630.483601016698</v>
      </c>
      <c r="H48" s="15">
        <f t="shared" si="5"/>
        <v>8359.7762720621031</v>
      </c>
      <c r="I48" s="15">
        <f>-PMT(('Edistynyt vuokratuottolaskuri'!$C$18/12),('Edistynyt vuokratuottolaskuri'!$C$19*12),('Edistynyt vuokratuottolaskuri'!$C$17),0,0)</f>
        <v>110.41614461107285</v>
      </c>
      <c r="J48" s="15">
        <f>I48-(H48*('Edistynyt vuokratuottolaskuri'!$C$18/12))</f>
        <v>96.483184157636018</v>
      </c>
      <c r="K48" s="15">
        <f t="shared" si="4"/>
        <v>8263.293087904467</v>
      </c>
      <c r="L48" s="15">
        <f t="shared" si="1"/>
        <v>43893.776688921163</v>
      </c>
      <c r="M48" s="15">
        <f>'Edistynyt vuokratuottolaskuri'!$C$6-K48-G48</f>
        <v>28106.223311078837</v>
      </c>
      <c r="N48" s="15">
        <f>$N$44+(('Edistynyt vuokratuottolaskuri'!$I$7+$N$44)*'Edistynyt vuokratuottolaskuri'!$C$9*(1-'Edistynyt vuokratuottolaskuri'!$C$41))</f>
        <v>0</v>
      </c>
      <c r="O48" s="15">
        <f>-'Edistynyt vuokratuottolaskuri'!$C$10*('Edistynyt vuokratuottolaskuri'!$I$7+N48-('Edistynyt vuokratuottolaskuri'!$I$17-(N48*Veroaste)))/12</f>
        <v>0</v>
      </c>
      <c r="P48" s="15">
        <f>P47+'Edistynyt vuokratuottolaskuri'!$I$19+N48+O48</f>
        <v>1251.6257891820987</v>
      </c>
      <c r="Q48" s="15">
        <f>IF(P47&gt;0,(P47*('Edistynyt vuokratuottolaskuri'!$F$7/12)),0)</f>
        <v>6.6119637479899573</v>
      </c>
      <c r="R48" s="15"/>
      <c r="S48" s="15"/>
      <c r="T48" s="15"/>
      <c r="U48" s="15"/>
      <c r="V48" s="15"/>
      <c r="W48" s="15">
        <f>W47+'Edistynyt vuokratuottolaskuri'!$I$19+Q48+N48</f>
        <v>1383.8650641418978</v>
      </c>
    </row>
    <row r="49" spans="1:23" x14ac:dyDescent="0.2">
      <c r="B49" s="2">
        <v>41</v>
      </c>
      <c r="C49" s="15">
        <f>C37+('Edistynyt vuokratuottolaskuri'!$C$52*C37)</f>
        <v>79333.176999999996</v>
      </c>
      <c r="D49" s="15">
        <f t="shared" si="8"/>
        <v>35630.483601016698</v>
      </c>
      <c r="E49" s="15">
        <f>-PMT(('Edistynyt vuokratuottolaskuri'!$C$33/12),('Edistynyt vuokratuottolaskuri'!$C$34*12),('Edistynyt vuokratuottolaskuri'!$C$29+'Edistynyt vuokratuottolaskuri'!$C$35),0,0)</f>
        <v>209.63805404269655</v>
      </c>
      <c r="F49" s="15">
        <f>E49-(D49*('Edistynyt vuokratuottolaskuri'!$C$33/12))</f>
        <v>150.25391470766871</v>
      </c>
      <c r="G49" s="15">
        <f>IF(Lyhennystapa="Annuiteetti",(D49-F49),IF(Lyhennystapa="Tasalyhennys",(D49-'Edistynyt vuokratuottolaskuri'!$C$38),IF(Lyhennystapa="Bullet",D48,"")))</f>
        <v>35480.229686309031</v>
      </c>
      <c r="H49" s="15">
        <f t="shared" si="5"/>
        <v>8263.293087904467</v>
      </c>
      <c r="I49" s="15">
        <f>-PMT(('Edistynyt vuokratuottolaskuri'!$C$18/12),('Edistynyt vuokratuottolaskuri'!$C$19*12),('Edistynyt vuokratuottolaskuri'!$C$17),0,0)</f>
        <v>110.41614461107285</v>
      </c>
      <c r="J49" s="15">
        <f>I49-(H49*('Edistynyt vuokratuottolaskuri'!$C$18/12))</f>
        <v>96.643989464565408</v>
      </c>
      <c r="K49" s="15">
        <f t="shared" si="4"/>
        <v>8166.6490984399015</v>
      </c>
      <c r="L49" s="15">
        <f t="shared" si="1"/>
        <v>43646.878784748929</v>
      </c>
      <c r="M49" s="15">
        <f>'Edistynyt vuokratuottolaskuri'!$C$6-K49-G49</f>
        <v>28353.121215251071</v>
      </c>
      <c r="N49" s="15">
        <f>$N$44+(('Edistynyt vuokratuottolaskuri'!$I$7+$N$44)*'Edistynyt vuokratuottolaskuri'!$C$9*(1-'Edistynyt vuokratuottolaskuri'!$C$41))</f>
        <v>0</v>
      </c>
      <c r="O49" s="15">
        <f>-'Edistynyt vuokratuottolaskuri'!$C$10*('Edistynyt vuokratuottolaskuri'!$I$7+N49-('Edistynyt vuokratuottolaskuri'!$I$17-(N49*Veroaste)))/12</f>
        <v>0</v>
      </c>
      <c r="P49" s="15">
        <f>P48+'Edistynyt vuokratuottolaskuri'!$I$19+N49+O49</f>
        <v>1282.9164339116512</v>
      </c>
      <c r="Q49" s="15">
        <f>IF(P48&gt;0,(P48*('Edistynyt vuokratuottolaskuri'!$F$7/12)),0)</f>
        <v>6.7815012799896994</v>
      </c>
      <c r="R49" s="15"/>
      <c r="S49" s="15"/>
      <c r="T49" s="15"/>
      <c r="U49" s="15"/>
      <c r="V49" s="15"/>
      <c r="W49" s="15">
        <f>W48+'Edistynyt vuokratuottolaskuri'!$I$19+Q49+N49</f>
        <v>1421.93721015144</v>
      </c>
    </row>
    <row r="50" spans="1:23" x14ac:dyDescent="0.2">
      <c r="B50" s="2">
        <v>42</v>
      </c>
      <c r="C50" s="15">
        <f>C38+('Edistynyt vuokratuottolaskuri'!$C$52*C38)</f>
        <v>79333.176999999996</v>
      </c>
      <c r="D50" s="15">
        <f t="shared" si="8"/>
        <v>35480.229686309031</v>
      </c>
      <c r="E50" s="15">
        <f>-PMT(('Edistynyt vuokratuottolaskuri'!$C$33/12),('Edistynyt vuokratuottolaskuri'!$C$34*12),('Edistynyt vuokratuottolaskuri'!$C$29+'Edistynyt vuokratuottolaskuri'!$C$35),0,0)</f>
        <v>209.63805404269655</v>
      </c>
      <c r="F50" s="15">
        <f>E50-(D50*('Edistynyt vuokratuottolaskuri'!$C$33/12))</f>
        <v>150.50433789884818</v>
      </c>
      <c r="G50" s="15">
        <f>IF(Lyhennystapa="Annuiteetti",(D50-F50),IF(Lyhennystapa="Tasalyhennys",(D50-'Edistynyt vuokratuottolaskuri'!$C$38),IF(Lyhennystapa="Bullet",D49,"")))</f>
        <v>35329.725348410182</v>
      </c>
      <c r="H50" s="15">
        <f t="shared" si="5"/>
        <v>8166.6490984399015</v>
      </c>
      <c r="I50" s="15">
        <f>-PMT(('Edistynyt vuokratuottolaskuri'!$C$18/12),('Edistynyt vuokratuottolaskuri'!$C$19*12),('Edistynyt vuokratuottolaskuri'!$C$17),0,0)</f>
        <v>110.41614461107285</v>
      </c>
      <c r="J50" s="15">
        <f>I50-(H50*('Edistynyt vuokratuottolaskuri'!$C$18/12))</f>
        <v>96.805062780339682</v>
      </c>
      <c r="K50" s="15">
        <f t="shared" si="4"/>
        <v>8069.844035659562</v>
      </c>
      <c r="L50" s="15">
        <f t="shared" si="1"/>
        <v>43399.569384069742</v>
      </c>
      <c r="M50" s="15">
        <f>'Edistynyt vuokratuottolaskuri'!$C$6-K50-G50</f>
        <v>28600.430615930258</v>
      </c>
      <c r="N50" s="15">
        <f>$N$44+(('Edistynyt vuokratuottolaskuri'!$I$7+$N$44)*'Edistynyt vuokratuottolaskuri'!$C$9*(1-'Edistynyt vuokratuottolaskuri'!$C$41))</f>
        <v>0</v>
      </c>
      <c r="O50" s="15">
        <f>-'Edistynyt vuokratuottolaskuri'!$C$10*('Edistynyt vuokratuottolaskuri'!$I$7+N50-('Edistynyt vuokratuottolaskuri'!$I$17-(N50*Veroaste)))/12</f>
        <v>0</v>
      </c>
      <c r="P50" s="15">
        <f>P49+'Edistynyt vuokratuottolaskuri'!$I$19+N50+O50</f>
        <v>1314.2070786412037</v>
      </c>
      <c r="Q50" s="15">
        <f>IF(P49&gt;0,(P49*('Edistynyt vuokratuottolaskuri'!$F$7/12)),0)</f>
        <v>6.9510388119894424</v>
      </c>
      <c r="R50" s="15"/>
      <c r="S50" s="15"/>
      <c r="T50" s="15"/>
      <c r="U50" s="15"/>
      <c r="V50" s="15"/>
      <c r="W50" s="15">
        <f>W49+'Edistynyt vuokratuottolaskuri'!$I$19+Q50+N50</f>
        <v>1460.178893692982</v>
      </c>
    </row>
    <row r="51" spans="1:23" x14ac:dyDescent="0.2">
      <c r="B51" s="2">
        <v>43</v>
      </c>
      <c r="C51" s="15">
        <f>C39+('Edistynyt vuokratuottolaskuri'!$C$52*C39)</f>
        <v>79333.176999999996</v>
      </c>
      <c r="D51" s="15">
        <f t="shared" si="8"/>
        <v>35329.725348410182</v>
      </c>
      <c r="E51" s="15">
        <f>-PMT(('Edistynyt vuokratuottolaskuri'!$C$33/12),('Edistynyt vuokratuottolaskuri'!$C$34*12),('Edistynyt vuokratuottolaskuri'!$C$29+'Edistynyt vuokratuottolaskuri'!$C$35),0,0)</f>
        <v>209.63805404269655</v>
      </c>
      <c r="F51" s="15">
        <f>E51-(D51*('Edistynyt vuokratuottolaskuri'!$C$33/12))</f>
        <v>150.75517846201291</v>
      </c>
      <c r="G51" s="15">
        <f>IF(Lyhennystapa="Annuiteetti",(D51-F51),IF(Lyhennystapa="Tasalyhennys",(D51-'Edistynyt vuokratuottolaskuri'!$C$38),IF(Lyhennystapa="Bullet",D50,"")))</f>
        <v>35178.970169948167</v>
      </c>
      <c r="H51" s="15">
        <f t="shared" si="5"/>
        <v>8069.844035659562</v>
      </c>
      <c r="I51" s="15">
        <f>-PMT(('Edistynyt vuokratuottolaskuri'!$C$18/12),('Edistynyt vuokratuottolaskuri'!$C$19*12),('Edistynyt vuokratuottolaskuri'!$C$17),0,0)</f>
        <v>110.41614461107285</v>
      </c>
      <c r="J51" s="15">
        <f>I51-(H51*('Edistynyt vuokratuottolaskuri'!$C$18/12))</f>
        <v>96.966404551640252</v>
      </c>
      <c r="K51" s="15">
        <f t="shared" si="4"/>
        <v>7972.8776311079218</v>
      </c>
      <c r="L51" s="15">
        <f t="shared" si="1"/>
        <v>43151.847801056087</v>
      </c>
      <c r="M51" s="15">
        <f>'Edistynyt vuokratuottolaskuri'!$C$6-K51-G51</f>
        <v>28848.152198943913</v>
      </c>
      <c r="N51" s="15">
        <f>$N$44+(('Edistynyt vuokratuottolaskuri'!$I$7+$N$44)*'Edistynyt vuokratuottolaskuri'!$C$9*(1-'Edistynyt vuokratuottolaskuri'!$C$41))</f>
        <v>0</v>
      </c>
      <c r="O51" s="15">
        <f>-'Edistynyt vuokratuottolaskuri'!$C$10*('Edistynyt vuokratuottolaskuri'!$I$7+N51-('Edistynyt vuokratuottolaskuri'!$I$17-(N51*Veroaste)))/12</f>
        <v>0</v>
      </c>
      <c r="P51" s="15">
        <f>P50+'Edistynyt vuokratuottolaskuri'!$I$19+N51+O51</f>
        <v>1345.4977233707561</v>
      </c>
      <c r="Q51" s="15">
        <f>IF(P50&gt;0,(P50*('Edistynyt vuokratuottolaskuri'!$F$7/12)),0)</f>
        <v>7.1205763439891845</v>
      </c>
      <c r="R51" s="15"/>
      <c r="S51" s="15"/>
      <c r="T51" s="15"/>
      <c r="U51" s="15"/>
      <c r="V51" s="15"/>
      <c r="W51" s="15">
        <f>W50+'Edistynyt vuokratuottolaskuri'!$I$19+Q51+N51</f>
        <v>1498.5901147665236</v>
      </c>
    </row>
    <row r="52" spans="1:23" x14ac:dyDescent="0.2">
      <c r="B52" s="2">
        <v>44</v>
      </c>
      <c r="C52" s="15">
        <f>C40+('Edistynyt vuokratuottolaskuri'!$C$52*C40)</f>
        <v>79333.176999999996</v>
      </c>
      <c r="D52" s="15">
        <f t="shared" si="8"/>
        <v>35178.970169948167</v>
      </c>
      <c r="E52" s="15">
        <f>-PMT(('Edistynyt vuokratuottolaskuri'!$C$33/12),('Edistynyt vuokratuottolaskuri'!$C$34*12),('Edistynyt vuokratuottolaskuri'!$C$29),0,0)</f>
        <v>209.63805404269655</v>
      </c>
      <c r="F52" s="15">
        <f>E52-(D52*('Edistynyt vuokratuottolaskuri'!$C$33/12))</f>
        <v>151.00643709278293</v>
      </c>
      <c r="G52" s="15">
        <f>IF(Lyhennystapa="Annuiteetti",(D52-F52),IF(Lyhennystapa="Tasalyhennys",(D52-'Edistynyt vuokratuottolaskuri'!$C$38),IF(Lyhennystapa="Bullet",D51,"")))</f>
        <v>35027.963732855387</v>
      </c>
      <c r="H52" s="15">
        <f t="shared" si="5"/>
        <v>7972.8776311079218</v>
      </c>
      <c r="I52" s="15">
        <f>-PMT(('Edistynyt vuokratuottolaskuri'!$C$18/12),('Edistynyt vuokratuottolaskuri'!$C$19*12),('Edistynyt vuokratuottolaskuri'!$C$17),0,0)</f>
        <v>110.41614461107285</v>
      </c>
      <c r="J52" s="15">
        <f>I52-(H52*('Edistynyt vuokratuottolaskuri'!$C$18/12))</f>
        <v>97.12801522589298</v>
      </c>
      <c r="K52" s="15">
        <f t="shared" si="4"/>
        <v>7875.7496158820286</v>
      </c>
      <c r="L52" s="15">
        <f t="shared" si="1"/>
        <v>42903.713348737416</v>
      </c>
      <c r="M52" s="15">
        <f>'Edistynyt vuokratuottolaskuri'!$C$6-K52-G52</f>
        <v>29096.286651262584</v>
      </c>
      <c r="N52" s="15">
        <f>$N$44+(('Edistynyt vuokratuottolaskuri'!$I$7+$N$44)*'Edistynyt vuokratuottolaskuri'!$C$9*(1-'Edistynyt vuokratuottolaskuri'!$C$41))</f>
        <v>0</v>
      </c>
      <c r="O52" s="15">
        <f>-'Edistynyt vuokratuottolaskuri'!$C$10*('Edistynyt vuokratuottolaskuri'!$I$7+N52-('Edistynyt vuokratuottolaskuri'!$I$17-(N52*Veroaste)))/12</f>
        <v>0</v>
      </c>
      <c r="P52" s="15">
        <f>P51+'Edistynyt vuokratuottolaskuri'!$I$19+N52+O52</f>
        <v>1376.7883681003086</v>
      </c>
      <c r="Q52" s="15">
        <f>IF(P51&gt;0,(P51*('Edistynyt vuokratuottolaskuri'!$F$7/12)),0)</f>
        <v>7.2901138759889275</v>
      </c>
      <c r="R52" s="15"/>
      <c r="S52" s="15"/>
      <c r="T52" s="15"/>
      <c r="U52" s="15"/>
      <c r="V52" s="15"/>
      <c r="W52" s="15">
        <f>W51+'Edistynyt vuokratuottolaskuri'!$I$19+Q52+N52</f>
        <v>1537.170873372065</v>
      </c>
    </row>
    <row r="53" spans="1:23" x14ac:dyDescent="0.2">
      <c r="B53" s="2">
        <v>45</v>
      </c>
      <c r="C53" s="15">
        <f>C41+('Edistynyt vuokratuottolaskuri'!$C$52*C41)</f>
        <v>79333.176999999996</v>
      </c>
      <c r="D53" s="15">
        <f t="shared" ref="D53:D116" si="9">G52</f>
        <v>35027.963732855387</v>
      </c>
      <c r="E53" s="15">
        <f>-PMT(('Edistynyt vuokratuottolaskuri'!$C$33/12),('Edistynyt vuokratuottolaskuri'!$C$34*12),('Edistynyt vuokratuottolaskuri'!$C$29),0,0)</f>
        <v>209.63805404269655</v>
      </c>
      <c r="F53" s="15">
        <f>E53-(D53*('Edistynyt vuokratuottolaskuri'!$C$33/12))</f>
        <v>151.25811448793758</v>
      </c>
      <c r="G53" s="15">
        <f>IF(Lyhennystapa="Annuiteetti",(D53-F53),IF(Lyhennystapa="Tasalyhennys",(D53-'Edistynyt vuokratuottolaskuri'!$C$38),IF(Lyhennystapa="Bullet",D52,"")))</f>
        <v>34876.70561836745</v>
      </c>
      <c r="H53" s="15">
        <f t="shared" si="5"/>
        <v>7875.7496158820286</v>
      </c>
      <c r="I53" s="15">
        <f>-PMT(('Edistynyt vuokratuottolaskuri'!$C$18/12),('Edistynyt vuokratuottolaskuri'!$C$19*12),('Edistynyt vuokratuottolaskuri'!$C$17),0,0)</f>
        <v>110.41614461107285</v>
      </c>
      <c r="J53" s="15">
        <f>I53-(H53*('Edistynyt vuokratuottolaskuri'!$C$18/12))</f>
        <v>97.289895251269471</v>
      </c>
      <c r="K53" s="15">
        <f t="shared" si="4"/>
        <v>7778.459720630759</v>
      </c>
      <c r="L53" s="15">
        <f t="shared" si="1"/>
        <v>42655.165338998209</v>
      </c>
      <c r="M53" s="15">
        <f>'Edistynyt vuokratuottolaskuri'!$C$6-K53-G53</f>
        <v>29344.834661001791</v>
      </c>
      <c r="N53" s="15">
        <f>$N$44+(('Edistynyt vuokratuottolaskuri'!$I$7+$N$44)*'Edistynyt vuokratuottolaskuri'!$C$9*(1-'Edistynyt vuokratuottolaskuri'!$C$41))</f>
        <v>0</v>
      </c>
      <c r="O53" s="15">
        <f>-'Edistynyt vuokratuottolaskuri'!$C$10*('Edistynyt vuokratuottolaskuri'!$I$7+N53-('Edistynyt vuokratuottolaskuri'!$I$17-(N53*Veroaste)))/12</f>
        <v>0</v>
      </c>
      <c r="P53" s="15">
        <f>P52+'Edistynyt vuokratuottolaskuri'!$I$19+N53+O53</f>
        <v>1408.0790128298611</v>
      </c>
      <c r="Q53" s="15">
        <f>IF(P52&gt;0,(P52*('Edistynyt vuokratuottolaskuri'!$F$7/12)),0)</f>
        <v>7.4596514079886695</v>
      </c>
      <c r="R53" s="15"/>
      <c r="S53" s="15"/>
      <c r="T53" s="15"/>
      <c r="U53" s="15"/>
      <c r="V53" s="15"/>
      <c r="W53" s="15">
        <f>W52+'Edistynyt vuokratuottolaskuri'!$I$19+Q53+N53</f>
        <v>1575.9211695096062</v>
      </c>
    </row>
    <row r="54" spans="1:23" x14ac:dyDescent="0.2">
      <c r="B54" s="2">
        <v>46</v>
      </c>
      <c r="C54" s="15">
        <f>C42+('Edistynyt vuokratuottolaskuri'!$C$52*C42)</f>
        <v>79333.176999999996</v>
      </c>
      <c r="D54" s="15">
        <f t="shared" si="9"/>
        <v>34876.70561836745</v>
      </c>
      <c r="E54" s="15">
        <f>-PMT(('Edistynyt vuokratuottolaskuri'!$C$33/12),('Edistynyt vuokratuottolaskuri'!$C$34*12),('Edistynyt vuokratuottolaskuri'!$C$29),0,0)</f>
        <v>209.63805404269655</v>
      </c>
      <c r="F54" s="15">
        <f>E54-(D54*('Edistynyt vuokratuottolaskuri'!$C$33/12))</f>
        <v>151.51021134541747</v>
      </c>
      <c r="G54" s="15">
        <f>IF(Lyhennystapa="Annuiteetti",(D54-F54),IF(Lyhennystapa="Tasalyhennys",(D54-'Edistynyt vuokratuottolaskuri'!$C$38),IF(Lyhennystapa="Bullet",D53,"")))</f>
        <v>34725.195407022031</v>
      </c>
      <c r="H54" s="15">
        <f t="shared" si="5"/>
        <v>7778.459720630759</v>
      </c>
      <c r="I54" s="15">
        <f>-PMT(('Edistynyt vuokratuottolaskuri'!$C$18/12),('Edistynyt vuokratuottolaskuri'!$C$19*12),('Edistynyt vuokratuottolaskuri'!$C$17),0,0)</f>
        <v>110.41614461107285</v>
      </c>
      <c r="J54" s="15">
        <f>I54-(H54*('Edistynyt vuokratuottolaskuri'!$C$18/12))</f>
        <v>97.45204507668825</v>
      </c>
      <c r="K54" s="15">
        <f t="shared" si="4"/>
        <v>7681.0076755540704</v>
      </c>
      <c r="L54" s="15">
        <f t="shared" si="1"/>
        <v>42406.203082576103</v>
      </c>
      <c r="M54" s="15">
        <f>'Edistynyt vuokratuottolaskuri'!$C$6-K54-G54</f>
        <v>29593.796917423897</v>
      </c>
      <c r="N54" s="15">
        <f>$N$44+(('Edistynyt vuokratuottolaskuri'!$I$7+$N$44)*'Edistynyt vuokratuottolaskuri'!$C$9*(1-'Edistynyt vuokratuottolaskuri'!$C$41))</f>
        <v>0</v>
      </c>
      <c r="O54" s="15">
        <f>-'Edistynyt vuokratuottolaskuri'!$C$10*('Edistynyt vuokratuottolaskuri'!$I$7+N54-('Edistynyt vuokratuottolaskuri'!$I$17-(N54*Veroaste)))/12</f>
        <v>0</v>
      </c>
      <c r="P54" s="15">
        <f>P53+'Edistynyt vuokratuottolaskuri'!$I$19+N54+O54</f>
        <v>1439.3696575594136</v>
      </c>
      <c r="Q54" s="15">
        <f>IF(P53&gt;0,(P53*('Edistynyt vuokratuottolaskuri'!$F$7/12)),0)</f>
        <v>7.6291889399884116</v>
      </c>
      <c r="R54" s="15"/>
      <c r="S54" s="15"/>
      <c r="T54" s="15"/>
      <c r="U54" s="15"/>
      <c r="V54" s="15"/>
      <c r="W54" s="15">
        <f>W53+'Edistynyt vuokratuottolaskuri'!$I$19+Q54+N54</f>
        <v>1614.841003179147</v>
      </c>
    </row>
    <row r="55" spans="1:23" x14ac:dyDescent="0.2">
      <c r="B55" s="2">
        <v>47</v>
      </c>
      <c r="C55" s="15">
        <f>C43+('Edistynyt vuokratuottolaskuri'!$C$52*C43)</f>
        <v>79333.176999999996</v>
      </c>
      <c r="D55" s="15">
        <f t="shared" si="9"/>
        <v>34725.195407022031</v>
      </c>
      <c r="E55" s="15">
        <f>-PMT(('Edistynyt vuokratuottolaskuri'!$C$33/12),('Edistynyt vuokratuottolaskuri'!$C$34*12),('Edistynyt vuokratuottolaskuri'!$C$29),0,0)</f>
        <v>209.63805404269655</v>
      </c>
      <c r="F55" s="15">
        <f>E55-(D55*('Edistynyt vuokratuottolaskuri'!$C$33/12))</f>
        <v>151.76272836432651</v>
      </c>
      <c r="G55" s="15">
        <f>IF(Lyhennystapa="Annuiteetti",(D55-F55),IF(Lyhennystapa="Tasalyhennys",(D55-'Edistynyt vuokratuottolaskuri'!$C$38),IF(Lyhennystapa="Bullet",D54,"")))</f>
        <v>34573.432678657708</v>
      </c>
      <c r="H55" s="15">
        <f t="shared" si="5"/>
        <v>7681.0076755540704</v>
      </c>
      <c r="I55" s="15">
        <f>-PMT(('Edistynyt vuokratuottolaskuri'!$C$18/12),('Edistynyt vuokratuottolaskuri'!$C$19*12),('Edistynyt vuokratuottolaskuri'!$C$17),0,0)</f>
        <v>110.41614461107285</v>
      </c>
      <c r="J55" s="15">
        <f>I55-(H55*('Edistynyt vuokratuottolaskuri'!$C$18/12))</f>
        <v>97.614465151816063</v>
      </c>
      <c r="K55" s="15">
        <f t="shared" si="4"/>
        <v>7583.3932104022542</v>
      </c>
      <c r="L55" s="15">
        <f t="shared" si="1"/>
        <v>42156.825889059961</v>
      </c>
      <c r="M55" s="15">
        <f>'Edistynyt vuokratuottolaskuri'!$C$6-K55-G55</f>
        <v>29843.174110940039</v>
      </c>
      <c r="N55" s="15">
        <f>$N$44+(('Edistynyt vuokratuottolaskuri'!$I$7+$N$44)*'Edistynyt vuokratuottolaskuri'!$C$9*(1-'Edistynyt vuokratuottolaskuri'!$C$41))</f>
        <v>0</v>
      </c>
      <c r="O55" s="15">
        <f>-'Edistynyt vuokratuottolaskuri'!$C$10*('Edistynyt vuokratuottolaskuri'!$I$7+N55-('Edistynyt vuokratuottolaskuri'!$I$17-(N55*Veroaste)))/12</f>
        <v>0</v>
      </c>
      <c r="P55" s="15">
        <f>P54+'Edistynyt vuokratuottolaskuri'!$I$19+N55+O55</f>
        <v>1470.660302288966</v>
      </c>
      <c r="Q55" s="15">
        <f>IF(P54&gt;0,(P54*('Edistynyt vuokratuottolaskuri'!$F$7/12)),0)</f>
        <v>7.7987264719881546</v>
      </c>
      <c r="R55" s="15"/>
      <c r="S55" s="15"/>
      <c r="T55" s="15"/>
      <c r="U55" s="15"/>
      <c r="V55" s="15"/>
      <c r="W55" s="15">
        <f>W54+'Edistynyt vuokratuottolaskuri'!$I$19+Q55+N55</f>
        <v>1653.9303743806877</v>
      </c>
    </row>
    <row r="56" spans="1:23" x14ac:dyDescent="0.2">
      <c r="B56" s="2">
        <v>48</v>
      </c>
      <c r="C56" s="15">
        <f>C44+('Edistynyt vuokratuottolaskuri'!$C$52*C44)</f>
        <v>79333.176999999996</v>
      </c>
      <c r="D56" s="15">
        <f t="shared" si="9"/>
        <v>34573.432678657708</v>
      </c>
      <c r="E56" s="15">
        <f>-PMT(('Edistynyt vuokratuottolaskuri'!$C$33/12),('Edistynyt vuokratuottolaskuri'!$C$34*12),('Edistynyt vuokratuottolaskuri'!$C$29),0,0)</f>
        <v>209.63805404269655</v>
      </c>
      <c r="F56" s="15">
        <f>E56-(D56*('Edistynyt vuokratuottolaskuri'!$C$33/12))</f>
        <v>152.0156662449337</v>
      </c>
      <c r="G56" s="15">
        <f>IF(Lyhennystapa="Annuiteetti",(D56-F56),IF(Lyhennystapa="Tasalyhennys",(D56-'Edistynyt vuokratuottolaskuri'!$C$38),IF(Lyhennystapa="Bullet",D55,"")))</f>
        <v>34421.41701241277</v>
      </c>
      <c r="H56" s="15">
        <f t="shared" si="5"/>
        <v>7583.3932104022542</v>
      </c>
      <c r="I56" s="15">
        <f>-PMT(('Edistynyt vuokratuottolaskuri'!$C$18/12),('Edistynyt vuokratuottolaskuri'!$C$19*12),('Edistynyt vuokratuottolaskuri'!$C$17),0,0)</f>
        <v>110.41614461107285</v>
      </c>
      <c r="J56" s="15">
        <f>I56-(H56*('Edistynyt vuokratuottolaskuri'!$C$18/12))</f>
        <v>97.777155927069089</v>
      </c>
      <c r="K56" s="15">
        <f t="shared" si="4"/>
        <v>7485.6160544751856</v>
      </c>
      <c r="L56" s="15">
        <f t="shared" si="1"/>
        <v>41907.033066887954</v>
      </c>
      <c r="M56" s="15">
        <f>'Edistynyt vuokratuottolaskuri'!$C$6-K56-G56</f>
        <v>30092.966933112046</v>
      </c>
      <c r="N56" s="15">
        <f>$N$44+(('Edistynyt vuokratuottolaskuri'!$I$7+$N$44)*'Edistynyt vuokratuottolaskuri'!$C$9*(1-'Edistynyt vuokratuottolaskuri'!$C$41))</f>
        <v>0</v>
      </c>
      <c r="O56" s="15">
        <f>-'Edistynyt vuokratuottolaskuri'!$C$10*('Edistynyt vuokratuottolaskuri'!$I$7+N56-('Edistynyt vuokratuottolaskuri'!$I$17-(N56*Veroaste)))/12</f>
        <v>0</v>
      </c>
      <c r="P56" s="15">
        <f>P55+'Edistynyt vuokratuottolaskuri'!$I$19+N56+O56</f>
        <v>1501.9509470185185</v>
      </c>
      <c r="Q56" s="15">
        <f>IF(P55&gt;0,(P55*('Edistynyt vuokratuottolaskuri'!$F$7/12)),0)</f>
        <v>7.9682640039878967</v>
      </c>
      <c r="R56" s="15"/>
      <c r="S56" s="15"/>
      <c r="T56" s="15"/>
      <c r="U56" s="15"/>
      <c r="V56" s="15"/>
      <c r="W56" s="15">
        <f>W55+'Edistynyt vuokratuottolaskuri'!$I$19+Q56+N56</f>
        <v>1693.1892831142281</v>
      </c>
    </row>
    <row r="57" spans="1:23" x14ac:dyDescent="0.2">
      <c r="A57" s="2" t="s">
        <v>39</v>
      </c>
      <c r="B57" s="2">
        <v>49</v>
      </c>
      <c r="C57" s="15">
        <f>C45+('Edistynyt vuokratuottolaskuri'!$C$52*C45)</f>
        <v>80126.50877</v>
      </c>
      <c r="D57" s="15">
        <f t="shared" si="9"/>
        <v>34421.41701241277</v>
      </c>
      <c r="E57" s="15">
        <f>-PMT(('Edistynyt vuokratuottolaskuri'!$C$33/12),('Edistynyt vuokratuottolaskuri'!$C$34*12),('Edistynyt vuokratuottolaskuri'!$C$29),0,0)</f>
        <v>209.63805404269655</v>
      </c>
      <c r="F57" s="15">
        <f>E57-(D57*('Edistynyt vuokratuottolaskuri'!$C$33/12))</f>
        <v>152.26902568867527</v>
      </c>
      <c r="G57" s="15">
        <f>IF(Lyhennystapa="Annuiteetti",(D57-F57),IF(Lyhennystapa="Tasalyhennys",(D57-'Edistynyt vuokratuottolaskuri'!$C$38),IF(Lyhennystapa="Bullet",D56,"")))</f>
        <v>34269.147986724092</v>
      </c>
      <c r="H57" s="15">
        <f t="shared" si="5"/>
        <v>7485.6160544751856</v>
      </c>
      <c r="I57" s="15">
        <f>-PMT(('Edistynyt vuokratuottolaskuri'!$C$18/12),('Edistynyt vuokratuottolaskuri'!$C$19*12),('Edistynyt vuokratuottolaskuri'!$C$17),0,0)</f>
        <v>110.41614461107285</v>
      </c>
      <c r="J57" s="15">
        <f>I57-(H57*('Edistynyt vuokratuottolaskuri'!$C$18/12))</f>
        <v>97.940117853614211</v>
      </c>
      <c r="K57" s="15">
        <f t="shared" si="4"/>
        <v>7387.6759366215711</v>
      </c>
      <c r="L57" s="15">
        <f t="shared" si="1"/>
        <v>41656.823923345662</v>
      </c>
      <c r="M57" s="15">
        <f>'Edistynyt vuokratuottolaskuri'!$C$6-K57-G57</f>
        <v>30343.176076654338</v>
      </c>
      <c r="N57" s="15">
        <f>$N$56+(('Edistynyt vuokratuottolaskuri'!$I$7+$N$56)*'Edistynyt vuokratuottolaskuri'!$C$9*(1-'Edistynyt vuokratuottolaskuri'!$C$41))</f>
        <v>0</v>
      </c>
      <c r="O57" s="15">
        <f>-'Edistynyt vuokratuottolaskuri'!$C$10*('Edistynyt vuokratuottolaskuri'!$I$7+N57-('Edistynyt vuokratuottolaskuri'!$I$17-(N57*Veroaste)))/12</f>
        <v>0</v>
      </c>
      <c r="P57" s="15">
        <f>P56+'Edistynyt vuokratuottolaskuri'!$I$19+N57+O57</f>
        <v>1533.241591748071</v>
      </c>
      <c r="Q57" s="15">
        <f>IF(P56&gt;0,(P56*('Edistynyt vuokratuottolaskuri'!$F$7/12)),0)</f>
        <v>8.1378015359876397</v>
      </c>
      <c r="R57" s="15">
        <f>P56</f>
        <v>1501.9509470185185</v>
      </c>
      <c r="S57" s="15">
        <f>(IF(C57&gt;=$C$9,C57,$C$9))-L56-'Edistynyt vuokratuottolaskuri'!$C$28</f>
        <v>18219.475703112046</v>
      </c>
      <c r="T57" s="15">
        <f>R57+S57</f>
        <v>19721.426650130565</v>
      </c>
      <c r="U57" s="15">
        <f>(R45+(S45*'Edistynyt vuokratuottolaskuri'!$C$42)+U45)*0.1+U45</f>
        <v>2684.732492933048</v>
      </c>
      <c r="V57" s="15">
        <f>T57+U57</f>
        <v>22406.159143063611</v>
      </c>
      <c r="W57" s="15">
        <f>W56+'Edistynyt vuokratuottolaskuri'!$I$19+Q57+N57</f>
        <v>1732.6177293797682</v>
      </c>
    </row>
    <row r="58" spans="1:23" x14ac:dyDescent="0.2">
      <c r="B58" s="2">
        <v>50</v>
      </c>
      <c r="C58" s="15">
        <f>C46+('Edistynyt vuokratuottolaskuri'!$C$52*C46)</f>
        <v>80126.50877</v>
      </c>
      <c r="D58" s="15">
        <f t="shared" si="9"/>
        <v>34269.147986724092</v>
      </c>
      <c r="E58" s="15">
        <f>-PMT(('Edistynyt vuokratuottolaskuri'!$C$33/12),('Edistynyt vuokratuottolaskuri'!$C$34*12),('Edistynyt vuokratuottolaskuri'!$C$29),0,0)</f>
        <v>209.63805404269655</v>
      </c>
      <c r="F58" s="15">
        <f>E58-(D58*('Edistynyt vuokratuottolaskuri'!$C$33/12))</f>
        <v>152.5228073981564</v>
      </c>
      <c r="G58" s="15">
        <f>IF(Lyhennystapa="Annuiteetti",(D58-F58),IF(Lyhennystapa="Tasalyhennys",(D58-'Edistynyt vuokratuottolaskuri'!$C$38),IF(Lyhennystapa="Bullet",D57,"")))</f>
        <v>34116.625179325936</v>
      </c>
      <c r="H58" s="15">
        <f t="shared" si="5"/>
        <v>7387.6759366215711</v>
      </c>
      <c r="I58" s="15">
        <f>-PMT(('Edistynyt vuokratuottolaskuri'!$C$18/12),('Edistynyt vuokratuottolaskuri'!$C$19*12),('Edistynyt vuokratuottolaskuri'!$C$17),0,0)</f>
        <v>110.41614461107285</v>
      </c>
      <c r="J58" s="15">
        <f>I58-(H58*('Edistynyt vuokratuottolaskuri'!$C$18/12))</f>
        <v>98.103351383370239</v>
      </c>
      <c r="K58" s="15">
        <f t="shared" si="4"/>
        <v>7289.5725852382011</v>
      </c>
      <c r="L58" s="15">
        <f t="shared" si="1"/>
        <v>41406.197764564138</v>
      </c>
      <c r="M58" s="15">
        <f>'Edistynyt vuokratuottolaskuri'!$C$6-K58-G58</f>
        <v>30593.802235435862</v>
      </c>
      <c r="N58" s="15">
        <f>$N$56+(('Edistynyt vuokratuottolaskuri'!$I$7+$N$56)*'Edistynyt vuokratuottolaskuri'!$C$9*(1-'Edistynyt vuokratuottolaskuri'!$C$41))</f>
        <v>0</v>
      </c>
      <c r="O58" s="15">
        <f>-'Edistynyt vuokratuottolaskuri'!$C$10*('Edistynyt vuokratuottolaskuri'!$I$7+N58-('Edistynyt vuokratuottolaskuri'!$I$17-(N58*Veroaste)))/12</f>
        <v>0</v>
      </c>
      <c r="P58" s="15">
        <f>P57+'Edistynyt vuokratuottolaskuri'!$I$19+N58+O58</f>
        <v>1564.5322364776234</v>
      </c>
      <c r="Q58" s="15">
        <f>IF(P57&gt;0,(P57*('Edistynyt vuokratuottolaskuri'!$F$7/12)),0)</f>
        <v>8.3073390679873818</v>
      </c>
      <c r="R58" s="15"/>
      <c r="S58" s="15"/>
      <c r="T58" s="15"/>
      <c r="U58" s="15"/>
      <c r="V58" s="15"/>
      <c r="W58" s="15">
        <f>W57+'Edistynyt vuokratuottolaskuri'!$I$19+Q58+N58</f>
        <v>1772.2157131773081</v>
      </c>
    </row>
    <row r="59" spans="1:23" x14ac:dyDescent="0.2">
      <c r="B59" s="2">
        <v>51</v>
      </c>
      <c r="C59" s="15">
        <f>C47+('Edistynyt vuokratuottolaskuri'!$C$52*C47)</f>
        <v>80126.50877</v>
      </c>
      <c r="D59" s="15">
        <f t="shared" si="9"/>
        <v>34116.625179325936</v>
      </c>
      <c r="E59" s="15">
        <f>-PMT(('Edistynyt vuokratuottolaskuri'!$C$33/12),('Edistynyt vuokratuottolaskuri'!$C$34*12),('Edistynyt vuokratuottolaskuri'!$C$29),0,0)</f>
        <v>209.63805404269655</v>
      </c>
      <c r="F59" s="15">
        <f>E59-(D59*('Edistynyt vuokratuottolaskuri'!$C$33/12))</f>
        <v>152.77701207715333</v>
      </c>
      <c r="G59" s="15">
        <f>IF(Lyhennystapa="Annuiteetti",(D59-F59),IF(Lyhennystapa="Tasalyhennys",(D59-'Edistynyt vuokratuottolaskuri'!$C$38),IF(Lyhennystapa="Bullet",D58,"")))</f>
        <v>33963.848167248783</v>
      </c>
      <c r="H59" s="15">
        <f t="shared" si="5"/>
        <v>7289.5725852382011</v>
      </c>
      <c r="I59" s="15">
        <f>-PMT(('Edistynyt vuokratuottolaskuri'!$C$18/12),('Edistynyt vuokratuottolaskuri'!$C$19*12),('Edistynyt vuokratuottolaskuri'!$C$17),0,0)</f>
        <v>110.41614461107285</v>
      </c>
      <c r="J59" s="15">
        <f>I59-(H59*('Edistynyt vuokratuottolaskuri'!$C$18/12))</f>
        <v>98.266856969009183</v>
      </c>
      <c r="K59" s="15">
        <f t="shared" si="4"/>
        <v>7191.3057282691916</v>
      </c>
      <c r="L59" s="15">
        <f t="shared" si="1"/>
        <v>41155.153895517971</v>
      </c>
      <c r="M59" s="15">
        <f>'Edistynyt vuokratuottolaskuri'!$C$6-K59-G59</f>
        <v>30844.846104482029</v>
      </c>
      <c r="N59" s="15">
        <f>$N$56+(('Edistynyt vuokratuottolaskuri'!$I$7+$N$56)*'Edistynyt vuokratuottolaskuri'!$C$9*(1-'Edistynyt vuokratuottolaskuri'!$C$41))</f>
        <v>0</v>
      </c>
      <c r="O59" s="15">
        <f>-'Edistynyt vuokratuottolaskuri'!$C$10*('Edistynyt vuokratuottolaskuri'!$I$7+N59-('Edistynyt vuokratuottolaskuri'!$I$17-(N59*Veroaste)))/12</f>
        <v>0</v>
      </c>
      <c r="P59" s="15">
        <f>P58+'Edistynyt vuokratuottolaskuri'!$I$19+N59+O59</f>
        <v>1595.8228812071759</v>
      </c>
      <c r="Q59" s="15">
        <f>IF(P58&gt;0,(P58*('Edistynyt vuokratuottolaskuri'!$F$7/12)),0)</f>
        <v>8.4768765999871238</v>
      </c>
      <c r="R59" s="15"/>
      <c r="S59" s="15"/>
      <c r="T59" s="15"/>
      <c r="U59" s="15"/>
      <c r="V59" s="15"/>
      <c r="W59" s="15">
        <f>W58+'Edistynyt vuokratuottolaskuri'!$I$19+Q59+N59</f>
        <v>1811.9832345068478</v>
      </c>
    </row>
    <row r="60" spans="1:23" x14ac:dyDescent="0.2">
      <c r="B60" s="2">
        <v>52</v>
      </c>
      <c r="C60" s="15">
        <f>C48+('Edistynyt vuokratuottolaskuri'!$C$52*C48)</f>
        <v>80126.50877</v>
      </c>
      <c r="D60" s="15">
        <f t="shared" si="9"/>
        <v>33963.848167248783</v>
      </c>
      <c r="E60" s="15">
        <f>-PMT(('Edistynyt vuokratuottolaskuri'!$C$33/12),('Edistynyt vuokratuottolaskuri'!$C$34*12),('Edistynyt vuokratuottolaskuri'!$C$29),0,0)</f>
        <v>209.63805404269655</v>
      </c>
      <c r="F60" s="15">
        <f>E60-(D60*('Edistynyt vuokratuottolaskuri'!$C$33/12))</f>
        <v>153.03164043061525</v>
      </c>
      <c r="G60" s="15">
        <f>IF(Lyhennystapa="Annuiteetti",(D60-F60),IF(Lyhennystapa="Tasalyhennys",(D60-'Edistynyt vuokratuottolaskuri'!$C$38),IF(Lyhennystapa="Bullet",D59,"")))</f>
        <v>33810.816526818169</v>
      </c>
      <c r="H60" s="15">
        <f t="shared" si="5"/>
        <v>7191.3057282691916</v>
      </c>
      <c r="I60" s="15">
        <f>-PMT(('Edistynyt vuokratuottolaskuri'!$C$18/12),('Edistynyt vuokratuottolaskuri'!$C$19*12),('Edistynyt vuokratuottolaskuri'!$C$17),0,0)</f>
        <v>110.41614461107285</v>
      </c>
      <c r="J60" s="15">
        <f>I60-(H60*('Edistynyt vuokratuottolaskuri'!$C$18/12))</f>
        <v>98.430635063957538</v>
      </c>
      <c r="K60" s="15">
        <f t="shared" si="4"/>
        <v>7092.8750932052344</v>
      </c>
      <c r="L60" s="15">
        <f t="shared" si="1"/>
        <v>40903.691620023405</v>
      </c>
      <c r="M60" s="15">
        <f>'Edistynyt vuokratuottolaskuri'!$C$6-K60-G60</f>
        <v>31096.308379976595</v>
      </c>
      <c r="N60" s="15">
        <f>$N$56+(('Edistynyt vuokratuottolaskuri'!$I$7+$N$56)*'Edistynyt vuokratuottolaskuri'!$C$9*(1-'Edistynyt vuokratuottolaskuri'!$C$41))</f>
        <v>0</v>
      </c>
      <c r="O60" s="15">
        <f>-'Edistynyt vuokratuottolaskuri'!$C$10*('Edistynyt vuokratuottolaskuri'!$I$7+N60-('Edistynyt vuokratuottolaskuri'!$I$17-(N60*Veroaste)))/12</f>
        <v>0</v>
      </c>
      <c r="P60" s="15">
        <f>P59+'Edistynyt vuokratuottolaskuri'!$I$19+N60+O60</f>
        <v>1627.1135259367284</v>
      </c>
      <c r="Q60" s="15">
        <f>IF(P59&gt;0,(P59*('Edistynyt vuokratuottolaskuri'!$F$7/12)),0)</f>
        <v>8.6464141319868677</v>
      </c>
      <c r="R60" s="15"/>
      <c r="S60" s="15"/>
      <c r="T60" s="15"/>
      <c r="U60" s="15"/>
      <c r="V60" s="15"/>
      <c r="W60" s="15">
        <f>W59+'Edistynyt vuokratuottolaskuri'!$I$19+Q60+N60</f>
        <v>1851.9202933683871</v>
      </c>
    </row>
    <row r="61" spans="1:23" x14ac:dyDescent="0.2">
      <c r="B61" s="2">
        <v>53</v>
      </c>
      <c r="C61" s="15">
        <f>C49+('Edistynyt vuokratuottolaskuri'!$C$52*C49)</f>
        <v>80126.50877</v>
      </c>
      <c r="D61" s="15">
        <f t="shared" si="9"/>
        <v>33810.816526818169</v>
      </c>
      <c r="E61" s="15">
        <f>-PMT(('Edistynyt vuokratuottolaskuri'!$C$33/12),('Edistynyt vuokratuottolaskuri'!$C$34*12),('Edistynyt vuokratuottolaskuri'!$C$29),0,0)</f>
        <v>209.63805404269655</v>
      </c>
      <c r="F61" s="15">
        <f>E61-(D61*('Edistynyt vuokratuottolaskuri'!$C$33/12))</f>
        <v>153.28669316466627</v>
      </c>
      <c r="G61" s="15">
        <f>IF(Lyhennystapa="Annuiteetti",(D61-F61),IF(Lyhennystapa="Tasalyhennys",(D61-'Edistynyt vuokratuottolaskuri'!$C$38),IF(Lyhennystapa="Bullet",D60,"")))</f>
        <v>33657.529833653505</v>
      </c>
      <c r="H61" s="15">
        <f t="shared" si="5"/>
        <v>7092.8750932052344</v>
      </c>
      <c r="I61" s="15">
        <f>-PMT(('Edistynyt vuokratuottolaskuri'!$C$18/12),('Edistynyt vuokratuottolaskuri'!$C$19*12),('Edistynyt vuokratuottolaskuri'!$C$17),0,0)</f>
        <v>110.41614461107285</v>
      </c>
      <c r="J61" s="15">
        <f>I61-(H61*('Edistynyt vuokratuottolaskuri'!$C$18/12))</f>
        <v>98.594686122397462</v>
      </c>
      <c r="K61" s="15">
        <f t="shared" si="4"/>
        <v>6994.280407082837</v>
      </c>
      <c r="L61" s="15">
        <f t="shared" si="1"/>
        <v>40651.81024073634</v>
      </c>
      <c r="M61" s="15">
        <f>'Edistynyt vuokratuottolaskuri'!$C$6-K61-G61</f>
        <v>31348.18975926366</v>
      </c>
      <c r="N61" s="15">
        <f>$N$56+(('Edistynyt vuokratuottolaskuri'!$I$7+$N$56)*'Edistynyt vuokratuottolaskuri'!$C$9*(1-'Edistynyt vuokratuottolaskuri'!$C$41))</f>
        <v>0</v>
      </c>
      <c r="O61" s="15">
        <f>-'Edistynyt vuokratuottolaskuri'!$C$10*('Edistynyt vuokratuottolaskuri'!$I$7+N61-('Edistynyt vuokratuottolaskuri'!$I$17-(N61*Veroaste)))/12</f>
        <v>0</v>
      </c>
      <c r="P61" s="15">
        <f>P60+'Edistynyt vuokratuottolaskuri'!$I$19+N61+O61</f>
        <v>1658.4041706662808</v>
      </c>
      <c r="Q61" s="15">
        <f>IF(P60&gt;0,(P60*('Edistynyt vuokratuottolaskuri'!$F$7/12)),0)</f>
        <v>8.8159516639866098</v>
      </c>
      <c r="R61" s="15"/>
      <c r="S61" s="15"/>
      <c r="T61" s="15"/>
      <c r="U61" s="15"/>
      <c r="V61" s="15"/>
      <c r="W61" s="15">
        <f>W60+'Edistynyt vuokratuottolaskuri'!$I$19+Q61+N61</f>
        <v>1892.0268897619262</v>
      </c>
    </row>
    <row r="62" spans="1:23" x14ac:dyDescent="0.2">
      <c r="B62" s="2">
        <v>54</v>
      </c>
      <c r="C62" s="15">
        <f>C50+('Edistynyt vuokratuottolaskuri'!$C$52*C50)</f>
        <v>80126.50877</v>
      </c>
      <c r="D62" s="15">
        <f t="shared" si="9"/>
        <v>33657.529833653505</v>
      </c>
      <c r="E62" s="15">
        <f>-PMT(('Edistynyt vuokratuottolaskuri'!$C$33/12),('Edistynyt vuokratuottolaskuri'!$C$34*12),('Edistynyt vuokratuottolaskuri'!$C$29),0,0)</f>
        <v>209.63805404269655</v>
      </c>
      <c r="F62" s="15">
        <f>E62-(D62*('Edistynyt vuokratuottolaskuri'!$C$33/12))</f>
        <v>153.54217098660737</v>
      </c>
      <c r="G62" s="15">
        <f>IF(Lyhennystapa="Annuiteetti",(D62-F62),IF(Lyhennystapa="Tasalyhennys",(D62-'Edistynyt vuokratuottolaskuri'!$C$38),IF(Lyhennystapa="Bullet",D61,"")))</f>
        <v>33503.987662666899</v>
      </c>
      <c r="H62" s="15">
        <f t="shared" si="5"/>
        <v>6994.280407082837</v>
      </c>
      <c r="I62" s="15">
        <f>-PMT(('Edistynyt vuokratuottolaskuri'!$C$18/12),('Edistynyt vuokratuottolaskuri'!$C$19*12),('Edistynyt vuokratuottolaskuri'!$C$17),0,0)</f>
        <v>110.41614461107285</v>
      </c>
      <c r="J62" s="15">
        <f>I62-(H62*('Edistynyt vuokratuottolaskuri'!$C$18/12))</f>
        <v>98.759010599268123</v>
      </c>
      <c r="K62" s="15">
        <f t="shared" si="4"/>
        <v>6895.5213964835684</v>
      </c>
      <c r="L62" s="15">
        <f t="shared" si="1"/>
        <v>40399.50905915047</v>
      </c>
      <c r="M62" s="15">
        <f>'Edistynyt vuokratuottolaskuri'!$C$6-K62-G62</f>
        <v>31600.49094084953</v>
      </c>
      <c r="N62" s="15">
        <f>$N$56+(('Edistynyt vuokratuottolaskuri'!$I$7+$N$56)*'Edistynyt vuokratuottolaskuri'!$C$9*(1-'Edistynyt vuokratuottolaskuri'!$C$41))</f>
        <v>0</v>
      </c>
      <c r="O62" s="15">
        <f>-'Edistynyt vuokratuottolaskuri'!$C$10*('Edistynyt vuokratuottolaskuri'!$I$7+N62-('Edistynyt vuokratuottolaskuri'!$I$17-(N62*Veroaste)))/12</f>
        <v>0</v>
      </c>
      <c r="P62" s="15">
        <f>P61+'Edistynyt vuokratuottolaskuri'!$I$19+N62+O62</f>
        <v>1689.6948153958333</v>
      </c>
      <c r="Q62" s="15">
        <f>IF(P61&gt;0,(P61*('Edistynyt vuokratuottolaskuri'!$F$7/12)),0)</f>
        <v>8.9854891959863519</v>
      </c>
      <c r="R62" s="15"/>
      <c r="S62" s="15"/>
      <c r="T62" s="15"/>
      <c r="U62" s="15"/>
      <c r="V62" s="15"/>
      <c r="W62" s="15">
        <f>W61+'Edistynyt vuokratuottolaskuri'!$I$19+Q62+N62</f>
        <v>1932.3030236874649</v>
      </c>
    </row>
    <row r="63" spans="1:23" x14ac:dyDescent="0.2">
      <c r="B63" s="2">
        <v>55</v>
      </c>
      <c r="C63" s="15">
        <f>C51+('Edistynyt vuokratuottolaskuri'!$C$52*C51)</f>
        <v>80126.50877</v>
      </c>
      <c r="D63" s="15">
        <f t="shared" si="9"/>
        <v>33503.987662666899</v>
      </c>
      <c r="E63" s="15">
        <f>-PMT(('Edistynyt vuokratuottolaskuri'!$C$33/12),('Edistynyt vuokratuottolaskuri'!$C$34*12),('Edistynyt vuokratuottolaskuri'!$C$29),0,0)</f>
        <v>209.63805404269655</v>
      </c>
      <c r="F63" s="15">
        <f>E63-(D63*('Edistynyt vuokratuottolaskuri'!$C$33/12))</f>
        <v>153.79807460491838</v>
      </c>
      <c r="G63" s="15">
        <f>IF(Lyhennystapa="Annuiteetti",(D63-F63),IF(Lyhennystapa="Tasalyhennys",(D63-'Edistynyt vuokratuottolaskuri'!$C$38),IF(Lyhennystapa="Bullet",D62,"")))</f>
        <v>33350.189588061978</v>
      </c>
      <c r="H63" s="15">
        <f t="shared" si="5"/>
        <v>6895.5213964835684</v>
      </c>
      <c r="I63" s="15">
        <f>-PMT(('Edistynyt vuokratuottolaskuri'!$C$18/12),('Edistynyt vuokratuottolaskuri'!$C$19*12),('Edistynyt vuokratuottolaskuri'!$C$17),0,0)</f>
        <v>110.41614461107285</v>
      </c>
      <c r="J63" s="15">
        <f>I63-(H63*('Edistynyt vuokratuottolaskuri'!$C$18/12))</f>
        <v>98.923608950266896</v>
      </c>
      <c r="K63" s="15">
        <f t="shared" si="4"/>
        <v>6796.5977875333019</v>
      </c>
      <c r="L63" s="15">
        <f t="shared" si="1"/>
        <v>40146.787375595282</v>
      </c>
      <c r="M63" s="15">
        <f>'Edistynyt vuokratuottolaskuri'!$C$6-K63-G63</f>
        <v>31853.212624404718</v>
      </c>
      <c r="N63" s="15">
        <f>$N$56+(('Edistynyt vuokratuottolaskuri'!$I$7+$N$56)*'Edistynyt vuokratuottolaskuri'!$C$9*(1-'Edistynyt vuokratuottolaskuri'!$C$41))</f>
        <v>0</v>
      </c>
      <c r="O63" s="15">
        <f>-'Edistynyt vuokratuottolaskuri'!$C$10*('Edistynyt vuokratuottolaskuri'!$I$7+N63-('Edistynyt vuokratuottolaskuri'!$I$17-(N63*Veroaste)))/12</f>
        <v>0</v>
      </c>
      <c r="P63" s="15">
        <f>P62+'Edistynyt vuokratuottolaskuri'!$I$19+N63+O63</f>
        <v>1720.9854601253858</v>
      </c>
      <c r="Q63" s="15">
        <f>IF(P62&gt;0,(P62*('Edistynyt vuokratuottolaskuri'!$F$7/12)),0)</f>
        <v>9.155026727986094</v>
      </c>
      <c r="R63" s="15"/>
      <c r="S63" s="15"/>
      <c r="T63" s="15"/>
      <c r="U63" s="15"/>
      <c r="V63" s="15"/>
      <c r="W63" s="15">
        <f>W62+'Edistynyt vuokratuottolaskuri'!$I$19+Q63+N63</f>
        <v>1972.7486951450035</v>
      </c>
    </row>
    <row r="64" spans="1:23" x14ac:dyDescent="0.2">
      <c r="B64" s="2">
        <v>56</v>
      </c>
      <c r="C64" s="15">
        <f>C52+('Edistynyt vuokratuottolaskuri'!$C$52*C52)</f>
        <v>80126.50877</v>
      </c>
      <c r="D64" s="15">
        <f t="shared" si="9"/>
        <v>33350.189588061978</v>
      </c>
      <c r="E64" s="15">
        <f>-PMT(('Edistynyt vuokratuottolaskuri'!$C$33/12),('Edistynyt vuokratuottolaskuri'!$C$34*12),('Edistynyt vuokratuottolaskuri'!$C$29),0,0)</f>
        <v>209.63805404269655</v>
      </c>
      <c r="F64" s="15">
        <f>E64-(D64*('Edistynyt vuokratuottolaskuri'!$C$33/12))</f>
        <v>154.05440472925991</v>
      </c>
      <c r="G64" s="15">
        <f>IF(Lyhennystapa="Annuiteetti",(D64-F64),IF(Lyhennystapa="Tasalyhennys",(D64-'Edistynyt vuokratuottolaskuri'!$C$38),IF(Lyhennystapa="Bullet",D63,"")))</f>
        <v>33196.135183332721</v>
      </c>
      <c r="H64" s="15">
        <f t="shared" si="5"/>
        <v>6796.5977875333019</v>
      </c>
      <c r="I64" s="15">
        <f>-PMT(('Edistynyt vuokratuottolaskuri'!$C$18/12),('Edistynyt vuokratuottolaskuri'!$C$19*12),('Edistynyt vuokratuottolaskuri'!$C$17),0,0)</f>
        <v>110.41614461107285</v>
      </c>
      <c r="J64" s="15">
        <f>I64-(H64*('Edistynyt vuokratuottolaskuri'!$C$18/12))</f>
        <v>99.088481631850684</v>
      </c>
      <c r="K64" s="15">
        <f t="shared" si="4"/>
        <v>6697.5093059014516</v>
      </c>
      <c r="L64" s="15">
        <f t="shared" si="1"/>
        <v>39893.644489234175</v>
      </c>
      <c r="M64" s="15">
        <f>'Edistynyt vuokratuottolaskuri'!$C$6-K64-G64</f>
        <v>32106.355510765825</v>
      </c>
      <c r="N64" s="15">
        <f>$N$56+(('Edistynyt vuokratuottolaskuri'!$I$7+$N$56)*'Edistynyt vuokratuottolaskuri'!$C$9*(1-'Edistynyt vuokratuottolaskuri'!$C$41))</f>
        <v>0</v>
      </c>
      <c r="O64" s="15">
        <f>-'Edistynyt vuokratuottolaskuri'!$C$10*('Edistynyt vuokratuottolaskuri'!$I$7+N64-('Edistynyt vuokratuottolaskuri'!$I$17-(N64*Veroaste)))/12</f>
        <v>0</v>
      </c>
      <c r="P64" s="15">
        <f>P63+'Edistynyt vuokratuottolaskuri'!$I$19+N64+O64</f>
        <v>1752.2761048549382</v>
      </c>
      <c r="Q64" s="15">
        <f>IF(P63&gt;0,(P63*('Edistynyt vuokratuottolaskuri'!$F$7/12)),0)</f>
        <v>9.3245642599858378</v>
      </c>
      <c r="R64" s="15"/>
      <c r="S64" s="15"/>
      <c r="T64" s="15"/>
      <c r="U64" s="15"/>
      <c r="V64" s="15"/>
      <c r="W64" s="15">
        <f>W63+'Edistynyt vuokratuottolaskuri'!$I$19+Q64+N64</f>
        <v>2013.3639041345418</v>
      </c>
    </row>
    <row r="65" spans="1:23" x14ac:dyDescent="0.2">
      <c r="B65" s="2">
        <v>57</v>
      </c>
      <c r="C65" s="15">
        <f>C53+('Edistynyt vuokratuottolaskuri'!$C$52*C53)</f>
        <v>80126.50877</v>
      </c>
      <c r="D65" s="15">
        <f t="shared" si="9"/>
        <v>33196.135183332721</v>
      </c>
      <c r="E65" s="15">
        <f>-PMT(('Edistynyt vuokratuottolaskuri'!$C$33/12),('Edistynyt vuokratuottolaskuri'!$C$34*12),('Edistynyt vuokratuottolaskuri'!$C$29),0,0)</f>
        <v>209.63805404269655</v>
      </c>
      <c r="F65" s="15">
        <f>E65-(D65*('Edistynyt vuokratuottolaskuri'!$C$33/12))</f>
        <v>154.31116207047535</v>
      </c>
      <c r="G65" s="15">
        <f>IF(Lyhennystapa="Annuiteetti",(D65-F65),IF(Lyhennystapa="Tasalyhennys",(D65-'Edistynyt vuokratuottolaskuri'!$C$38),IF(Lyhennystapa="Bullet",D64,"")))</f>
        <v>33041.824021262248</v>
      </c>
      <c r="H65" s="15">
        <f t="shared" si="5"/>
        <v>6697.5093059014516</v>
      </c>
      <c r="I65" s="15">
        <f>-PMT(('Edistynyt vuokratuottolaskuri'!$C$18/12),('Edistynyt vuokratuottolaskuri'!$C$19*12),('Edistynyt vuokratuottolaskuri'!$C$17),0,0)</f>
        <v>110.41614461107285</v>
      </c>
      <c r="J65" s="15">
        <f>I65-(H65*('Edistynyt vuokratuottolaskuri'!$C$18/12))</f>
        <v>99.253629101237095</v>
      </c>
      <c r="K65" s="15">
        <f t="shared" si="4"/>
        <v>6598.2556768002141</v>
      </c>
      <c r="L65" s="15">
        <f t="shared" si="1"/>
        <v>39640.079698062458</v>
      </c>
      <c r="M65" s="15">
        <f>'Edistynyt vuokratuottolaskuri'!$C$6-K65-G65</f>
        <v>32359.920301937542</v>
      </c>
      <c r="N65" s="15">
        <f>$N$56+(('Edistynyt vuokratuottolaskuri'!$I$7+$N$56)*'Edistynyt vuokratuottolaskuri'!$C$9*(1-'Edistynyt vuokratuottolaskuri'!$C$41))</f>
        <v>0</v>
      </c>
      <c r="O65" s="15">
        <f>-'Edistynyt vuokratuottolaskuri'!$C$10*('Edistynyt vuokratuottolaskuri'!$I$7+N65-('Edistynyt vuokratuottolaskuri'!$I$17-(N65*Veroaste)))/12</f>
        <v>0</v>
      </c>
      <c r="P65" s="15">
        <f>P64+'Edistynyt vuokratuottolaskuri'!$I$19+N65+O65</f>
        <v>1783.5667495844907</v>
      </c>
      <c r="Q65" s="15">
        <f>IF(P64&gt;0,(P64*('Edistynyt vuokratuottolaskuri'!$F$7/12)),0)</f>
        <v>9.4941017919855799</v>
      </c>
      <c r="R65" s="15"/>
      <c r="S65" s="15"/>
      <c r="T65" s="15"/>
      <c r="U65" s="15"/>
      <c r="V65" s="15"/>
      <c r="W65" s="15">
        <f>W64+'Edistynyt vuokratuottolaskuri'!$I$19+Q65+N65</f>
        <v>2054.14865065608</v>
      </c>
    </row>
    <row r="66" spans="1:23" x14ac:dyDescent="0.2">
      <c r="B66" s="2">
        <v>58</v>
      </c>
      <c r="C66" s="15">
        <f>C54+('Edistynyt vuokratuottolaskuri'!$C$52*C54)</f>
        <v>80126.50877</v>
      </c>
      <c r="D66" s="15">
        <f t="shared" si="9"/>
        <v>33041.824021262248</v>
      </c>
      <c r="E66" s="15">
        <f>-PMT(('Edistynyt vuokratuottolaskuri'!$C$33/12),('Edistynyt vuokratuottolaskuri'!$C$34*12),('Edistynyt vuokratuottolaskuri'!$C$29),0,0)</f>
        <v>209.63805404269655</v>
      </c>
      <c r="F66" s="15">
        <f>E66-(D66*('Edistynyt vuokratuottolaskuri'!$C$33/12))</f>
        <v>154.56834734059279</v>
      </c>
      <c r="G66" s="15">
        <f>IF(Lyhennystapa="Annuiteetti",(D66-F66),IF(Lyhennystapa="Tasalyhennys",(D66-'Edistynyt vuokratuottolaskuri'!$C$38),IF(Lyhennystapa="Bullet",D65,"")))</f>
        <v>32887.255673921652</v>
      </c>
      <c r="H66" s="15">
        <f t="shared" si="5"/>
        <v>6598.2556768002141</v>
      </c>
      <c r="I66" s="15">
        <f>-PMT(('Edistynyt vuokratuottolaskuri'!$C$18/12),('Edistynyt vuokratuottolaskuri'!$C$19*12),('Edistynyt vuokratuottolaskuri'!$C$17),0,0)</f>
        <v>110.41614461107285</v>
      </c>
      <c r="J66" s="15">
        <f>I66-(H66*('Edistynyt vuokratuottolaskuri'!$C$18/12))</f>
        <v>99.419051816405826</v>
      </c>
      <c r="K66" s="15">
        <f t="shared" si="4"/>
        <v>6498.8366249838082</v>
      </c>
      <c r="L66" s="15">
        <f t="shared" si="1"/>
        <v>39386.09229890546</v>
      </c>
      <c r="M66" s="15">
        <f>'Edistynyt vuokratuottolaskuri'!$C$6-K66-G66</f>
        <v>32613.90770109454</v>
      </c>
      <c r="N66" s="15">
        <f>$N$56+(('Edistynyt vuokratuottolaskuri'!$I$7+$N$56)*'Edistynyt vuokratuottolaskuri'!$C$9*(1-'Edistynyt vuokratuottolaskuri'!$C$41))</f>
        <v>0</v>
      </c>
      <c r="O66" s="15">
        <f>-'Edistynyt vuokratuottolaskuri'!$C$10*('Edistynyt vuokratuottolaskuri'!$I$7+N66-('Edistynyt vuokratuottolaskuri'!$I$17-(N66*Veroaste)))/12</f>
        <v>0</v>
      </c>
      <c r="P66" s="15">
        <f>P65+'Edistynyt vuokratuottolaskuri'!$I$19+N66+O66</f>
        <v>1814.8573943140432</v>
      </c>
      <c r="Q66" s="15">
        <f>IF(P65&gt;0,(P65*('Edistynyt vuokratuottolaskuri'!$F$7/12)),0)</f>
        <v>9.663639323985322</v>
      </c>
      <c r="R66" s="15"/>
      <c r="S66" s="15"/>
      <c r="T66" s="15"/>
      <c r="U66" s="15"/>
      <c r="V66" s="15"/>
      <c r="W66" s="15">
        <f>W65+'Edistynyt vuokratuottolaskuri'!$I$19+Q66+N66</f>
        <v>2095.1029347096178</v>
      </c>
    </row>
    <row r="67" spans="1:23" x14ac:dyDescent="0.2">
      <c r="B67" s="2">
        <v>59</v>
      </c>
      <c r="C67" s="15">
        <f>C55+('Edistynyt vuokratuottolaskuri'!$C$52*C55)</f>
        <v>80126.50877</v>
      </c>
      <c r="D67" s="15">
        <f t="shared" si="9"/>
        <v>32887.255673921652</v>
      </c>
      <c r="E67" s="15">
        <f>-PMT(('Edistynyt vuokratuottolaskuri'!$C$33/12),('Edistynyt vuokratuottolaskuri'!$C$34*12),('Edistynyt vuokratuottolaskuri'!$C$29),0,0)</f>
        <v>209.63805404269655</v>
      </c>
      <c r="F67" s="15">
        <f>E67-(D67*('Edistynyt vuokratuottolaskuri'!$C$33/12))</f>
        <v>154.82596125282714</v>
      </c>
      <c r="G67" s="15">
        <f>IF(Lyhennystapa="Annuiteetti",(D67-F67),IF(Lyhennystapa="Tasalyhennys",(D67-'Edistynyt vuokratuottolaskuri'!$C$38),IF(Lyhennystapa="Bullet",D66,"")))</f>
        <v>32732.429712668825</v>
      </c>
      <c r="H67" s="15">
        <f t="shared" si="5"/>
        <v>6498.8366249838082</v>
      </c>
      <c r="I67" s="15">
        <f>-PMT(('Edistynyt vuokratuottolaskuri'!$C$18/12),('Edistynyt vuokratuottolaskuri'!$C$19*12),('Edistynyt vuokratuottolaskuri'!$C$17),0,0)</f>
        <v>110.41614461107285</v>
      </c>
      <c r="J67" s="15">
        <f>I67-(H67*('Edistynyt vuokratuottolaskuri'!$C$18/12))</f>
        <v>99.584750236099836</v>
      </c>
      <c r="K67" s="15">
        <f t="shared" si="4"/>
        <v>6399.2518747477079</v>
      </c>
      <c r="L67" s="15">
        <f t="shared" si="1"/>
        <v>39131.681587416533</v>
      </c>
      <c r="M67" s="15">
        <f>'Edistynyt vuokratuottolaskuri'!$C$6-K67-G67</f>
        <v>32868.31841258346</v>
      </c>
      <c r="N67" s="15">
        <f>$N$56+(('Edistynyt vuokratuottolaskuri'!$I$7+$N$56)*'Edistynyt vuokratuottolaskuri'!$C$9*(1-'Edistynyt vuokratuottolaskuri'!$C$41))</f>
        <v>0</v>
      </c>
      <c r="O67" s="15">
        <f>-'Edistynyt vuokratuottolaskuri'!$C$10*('Edistynyt vuokratuottolaskuri'!$I$7+N67-('Edistynyt vuokratuottolaskuri'!$I$17-(N67*Veroaste)))/12</f>
        <v>0</v>
      </c>
      <c r="P67" s="15">
        <f>P66+'Edistynyt vuokratuottolaskuri'!$I$19+N67+O67</f>
        <v>1846.1480390435956</v>
      </c>
      <c r="Q67" s="15">
        <f>IF(P66&gt;0,(P66*('Edistynyt vuokratuottolaskuri'!$F$7/12)),0)</f>
        <v>9.8331768559850641</v>
      </c>
      <c r="R67" s="15"/>
      <c r="S67" s="15"/>
      <c r="T67" s="15"/>
      <c r="U67" s="15"/>
      <c r="V67" s="15"/>
      <c r="W67" s="15">
        <f>W66+'Edistynyt vuokratuottolaskuri'!$I$19+Q67+N67</f>
        <v>2136.2267562951552</v>
      </c>
    </row>
    <row r="68" spans="1:23" x14ac:dyDescent="0.2">
      <c r="B68" s="2">
        <v>60</v>
      </c>
      <c r="C68" s="15">
        <f>C56+('Edistynyt vuokratuottolaskuri'!$C$52*C56)</f>
        <v>80126.50877</v>
      </c>
      <c r="D68" s="15">
        <f t="shared" si="9"/>
        <v>32732.429712668825</v>
      </c>
      <c r="E68" s="15">
        <f>-PMT(('Edistynyt vuokratuottolaskuri'!$C$33/12),('Edistynyt vuokratuottolaskuri'!$C$34*12),('Edistynyt vuokratuottolaskuri'!$C$29),0,0)</f>
        <v>209.63805404269655</v>
      </c>
      <c r="F68" s="15">
        <f>E68-(D68*('Edistynyt vuokratuottolaskuri'!$C$33/12))</f>
        <v>155.08400452158185</v>
      </c>
      <c r="G68" s="15">
        <f>IF(Lyhennystapa="Annuiteetti",(D68-F68),IF(Lyhennystapa="Tasalyhennys",(D68-'Edistynyt vuokratuottolaskuri'!$C$38),IF(Lyhennystapa="Bullet",D67,"")))</f>
        <v>32577.345708147244</v>
      </c>
      <c r="H68" s="15">
        <f t="shared" si="5"/>
        <v>6399.2518747477079</v>
      </c>
      <c r="I68" s="15">
        <f>-PMT(('Edistynyt vuokratuottolaskuri'!$C$18/12),('Edistynyt vuokratuottolaskuri'!$C$19*12),('Edistynyt vuokratuottolaskuri'!$C$17),0,0)</f>
        <v>110.41614461107285</v>
      </c>
      <c r="J68" s="15">
        <f>I68-(H68*('Edistynyt vuokratuottolaskuri'!$C$18/12))</f>
        <v>99.750724819826672</v>
      </c>
      <c r="K68" s="15">
        <f t="shared" si="4"/>
        <v>6299.5011499278817</v>
      </c>
      <c r="L68" s="15">
        <f t="shared" si="1"/>
        <v>38876.846858075129</v>
      </c>
      <c r="M68" s="15">
        <f>'Edistynyt vuokratuottolaskuri'!$C$6-K68-G68</f>
        <v>33123.153141924879</v>
      </c>
      <c r="N68" s="15">
        <f>$N$56+(('Edistynyt vuokratuottolaskuri'!$I$7+$N$56)*'Edistynyt vuokratuottolaskuri'!$C$9*(1-'Edistynyt vuokratuottolaskuri'!$C$41))</f>
        <v>0</v>
      </c>
      <c r="O68" s="15">
        <f>-'Edistynyt vuokratuottolaskuri'!$C$10*('Edistynyt vuokratuottolaskuri'!$I$7+N68-('Edistynyt vuokratuottolaskuri'!$I$17-(N68*Veroaste)))/12</f>
        <v>0</v>
      </c>
      <c r="P68" s="15">
        <f>P67+'Edistynyt vuokratuottolaskuri'!$I$19+N68+O68</f>
        <v>1877.4386837731481</v>
      </c>
      <c r="Q68" s="15">
        <f>IF(P67&gt;0,(P67*('Edistynyt vuokratuottolaskuri'!$F$7/12)),0)</f>
        <v>10.002714387984806</v>
      </c>
      <c r="R68" s="15"/>
      <c r="S68" s="15"/>
      <c r="T68" s="15"/>
      <c r="U68" s="15"/>
      <c r="V68" s="15"/>
      <c r="W68" s="15">
        <f>W67+'Edistynyt vuokratuottolaskuri'!$I$19+Q68+N68</f>
        <v>2177.5201154126921</v>
      </c>
    </row>
    <row r="69" spans="1:23" x14ac:dyDescent="0.2">
      <c r="A69" s="2" t="s">
        <v>40</v>
      </c>
      <c r="B69" s="2">
        <v>61</v>
      </c>
      <c r="C69" s="15">
        <f>C57+('Edistynyt vuokratuottolaskuri'!$C$52*C57)</f>
        <v>80927.773857699998</v>
      </c>
      <c r="D69" s="15">
        <f t="shared" si="9"/>
        <v>32577.345708147244</v>
      </c>
      <c r="E69" s="15">
        <f>-PMT(('Edistynyt vuokratuottolaskuri'!$C$33/12),('Edistynyt vuokratuottolaskuri'!$C$34*12),('Edistynyt vuokratuottolaskuri'!$C$29),0,0)</f>
        <v>209.63805404269655</v>
      </c>
      <c r="F69" s="15">
        <f>E69-(D69*('Edistynyt vuokratuottolaskuri'!$C$33/12))</f>
        <v>155.34247786245115</v>
      </c>
      <c r="G69" s="15">
        <f>IF(Lyhennystapa="Annuiteetti",(D69-F69),IF(Lyhennystapa="Tasalyhennys",(D69-'Edistynyt vuokratuottolaskuri'!$C$38),IF(Lyhennystapa="Bullet",D68,"")))</f>
        <v>32422.003230284794</v>
      </c>
      <c r="H69" s="15">
        <f t="shared" si="5"/>
        <v>6299.5011499278817</v>
      </c>
      <c r="I69" s="15">
        <f>-PMT(('Edistynyt vuokratuottolaskuri'!$C$18/12),('Edistynyt vuokratuottolaskuri'!$C$19*12),('Edistynyt vuokratuottolaskuri'!$C$17),0,0)</f>
        <v>110.41614461107285</v>
      </c>
      <c r="J69" s="15">
        <f>I69-(H69*('Edistynyt vuokratuottolaskuri'!$C$18/12))</f>
        <v>99.916976027859718</v>
      </c>
      <c r="K69" s="15">
        <f t="shared" si="4"/>
        <v>6199.5841739000216</v>
      </c>
      <c r="L69" s="15">
        <f t="shared" si="1"/>
        <v>38621.587404184815</v>
      </c>
      <c r="M69" s="15">
        <f>'Edistynyt vuokratuottolaskuri'!$C$6-K69-G69</f>
        <v>33378.412595815185</v>
      </c>
      <c r="N69" s="15">
        <f>$N$68+(('Edistynyt vuokratuottolaskuri'!$I$7+$N$68)*'Edistynyt vuokratuottolaskuri'!$C$9*(1-'Edistynyt vuokratuottolaskuri'!$C$41))</f>
        <v>0</v>
      </c>
      <c r="O69" s="15">
        <f>-'Edistynyt vuokratuottolaskuri'!$C$10*('Edistynyt vuokratuottolaskuri'!$I$7+N69-('Edistynyt vuokratuottolaskuri'!$I$17-(N69*Veroaste)))/12</f>
        <v>0</v>
      </c>
      <c r="P69" s="15">
        <f>P68+'Edistynyt vuokratuottolaskuri'!$I$19+N69+O69</f>
        <v>1908.7293285027006</v>
      </c>
      <c r="Q69" s="15">
        <f>IF(P68&gt;0,(P68*('Edistynyt vuokratuottolaskuri'!$F$7/12)),0)</f>
        <v>10.17225191998455</v>
      </c>
      <c r="R69" s="15">
        <f>P68</f>
        <v>1877.4386837731481</v>
      </c>
      <c r="S69" s="15">
        <f>(IF(C69&gt;=$C$9,C69,$C$9))-L68-'Edistynyt vuokratuottolaskuri'!$C$28</f>
        <v>22050.926999624869</v>
      </c>
      <c r="T69" s="15">
        <f>R69+S69</f>
        <v>23928.365683398017</v>
      </c>
      <c r="U69" s="15">
        <f>(R57+(S57*'Edistynyt vuokratuottolaskuri'!$C$42)+U57)*0.1+U57</f>
        <v>4378.7641361460483</v>
      </c>
      <c r="V69" s="15">
        <f>T69+U69</f>
        <v>28307.129819544065</v>
      </c>
      <c r="W69" s="15">
        <f>W68+'Edistynyt vuokratuottolaskuri'!$I$19+Q69+N69</f>
        <v>2218.9830120622291</v>
      </c>
    </row>
    <row r="70" spans="1:23" x14ac:dyDescent="0.2">
      <c r="B70" s="2">
        <v>62</v>
      </c>
      <c r="C70" s="15">
        <f>C58+('Edistynyt vuokratuottolaskuri'!$C$52*C58)</f>
        <v>80927.773857699998</v>
      </c>
      <c r="D70" s="15">
        <f t="shared" si="9"/>
        <v>32422.003230284794</v>
      </c>
      <c r="E70" s="15">
        <f>-PMT(('Edistynyt vuokratuottolaskuri'!$C$33/12),('Edistynyt vuokratuottolaskuri'!$C$34*12),('Edistynyt vuokratuottolaskuri'!$C$29),0,0)</f>
        <v>209.63805404269655</v>
      </c>
      <c r="F70" s="15">
        <f>E70-(D70*('Edistynyt vuokratuottolaskuri'!$C$33/12))</f>
        <v>155.60138199222189</v>
      </c>
      <c r="G70" s="15">
        <f>IF(Lyhennystapa="Annuiteetti",(D70-F70),IF(Lyhennystapa="Tasalyhennys",(D70-'Edistynyt vuokratuottolaskuri'!$C$38),IF(Lyhennystapa="Bullet",D69,"")))</f>
        <v>32266.401848292571</v>
      </c>
      <c r="H70" s="15">
        <f t="shared" si="5"/>
        <v>6199.5841739000216</v>
      </c>
      <c r="I70" s="15">
        <f>-PMT(('Edistynyt vuokratuottolaskuri'!$C$18/12),('Edistynyt vuokratuottolaskuri'!$C$19*12),('Edistynyt vuokratuottolaskuri'!$C$17),0,0)</f>
        <v>110.41614461107285</v>
      </c>
      <c r="J70" s="15">
        <f>I70-(H70*('Edistynyt vuokratuottolaskuri'!$C$18/12))</f>
        <v>100.08350432123949</v>
      </c>
      <c r="K70" s="15">
        <f t="shared" si="4"/>
        <v>6099.5006695787824</v>
      </c>
      <c r="L70" s="15">
        <f t="shared" si="1"/>
        <v>38365.902517871356</v>
      </c>
      <c r="M70" s="15">
        <f>'Edistynyt vuokratuottolaskuri'!$C$6-K70-G70</f>
        <v>33634.097482128636</v>
      </c>
      <c r="N70" s="15">
        <f>$N$68+(('Edistynyt vuokratuottolaskuri'!$I$7+$N$68)*'Edistynyt vuokratuottolaskuri'!$C$9*(1-'Edistynyt vuokratuottolaskuri'!$C$41))</f>
        <v>0</v>
      </c>
      <c r="O70" s="15">
        <f>-'Edistynyt vuokratuottolaskuri'!$C$10*('Edistynyt vuokratuottolaskuri'!$I$7+N70-('Edistynyt vuokratuottolaskuri'!$I$17-(N70*Veroaste)))/12</f>
        <v>0</v>
      </c>
      <c r="P70" s="15">
        <f>P69+'Edistynyt vuokratuottolaskuri'!$I$19+N70+O70</f>
        <v>1940.0199732322531</v>
      </c>
      <c r="Q70" s="15">
        <f>IF(P69&gt;0,(P69*('Edistynyt vuokratuottolaskuri'!$F$7/12)),0)</f>
        <v>10.341789451984292</v>
      </c>
      <c r="R70" s="15"/>
      <c r="S70" s="15"/>
      <c r="T70" s="15"/>
      <c r="U70" s="15"/>
      <c r="V70" s="15">
        <f t="shared" ref="V70:V97" si="10">T70+U70</f>
        <v>0</v>
      </c>
      <c r="W70" s="15">
        <f>W69+'Edistynyt vuokratuottolaskuri'!$I$19+Q70+N70</f>
        <v>2260.6154462437662</v>
      </c>
    </row>
    <row r="71" spans="1:23" x14ac:dyDescent="0.2">
      <c r="B71" s="2">
        <v>63</v>
      </c>
      <c r="C71" s="15">
        <f>C59+('Edistynyt vuokratuottolaskuri'!$C$52*C59)</f>
        <v>80927.773857699998</v>
      </c>
      <c r="D71" s="15">
        <f t="shared" si="9"/>
        <v>32266.401848292571</v>
      </c>
      <c r="E71" s="15">
        <f>-PMT(('Edistynyt vuokratuottolaskuri'!$C$33/12),('Edistynyt vuokratuottolaskuri'!$C$34*12),('Edistynyt vuokratuottolaskuri'!$C$29),0,0)</f>
        <v>209.63805404269655</v>
      </c>
      <c r="F71" s="15">
        <f>E71-(D71*('Edistynyt vuokratuottolaskuri'!$C$33/12))</f>
        <v>155.86071762887559</v>
      </c>
      <c r="G71" s="15">
        <f>IF(Lyhennystapa="Annuiteetti",(D71-F71),IF(Lyhennystapa="Tasalyhennys",(D71-'Edistynyt vuokratuottolaskuri'!$C$38),IF(Lyhennystapa="Bullet",D70,"")))</f>
        <v>32110.541130663696</v>
      </c>
      <c r="H71" s="15">
        <f t="shared" si="5"/>
        <v>6099.5006695787824</v>
      </c>
      <c r="I71" s="15">
        <f>-PMT(('Edistynyt vuokratuottolaskuri'!$C$18/12),('Edistynyt vuokratuottolaskuri'!$C$19*12),('Edistynyt vuokratuottolaskuri'!$C$17),0,0)</f>
        <v>110.41614461107285</v>
      </c>
      <c r="J71" s="15">
        <f>I71-(H71*('Edistynyt vuokratuottolaskuri'!$C$18/12))</f>
        <v>100.25031016177488</v>
      </c>
      <c r="K71" s="15">
        <f t="shared" si="4"/>
        <v>5999.2503594170075</v>
      </c>
      <c r="L71" s="15">
        <f t="shared" si="1"/>
        <v>38109.791490080701</v>
      </c>
      <c r="M71" s="15">
        <f>'Edistynyt vuokratuottolaskuri'!$C$6-K71-G71</f>
        <v>33890.208509919292</v>
      </c>
      <c r="N71" s="15">
        <f>$N$68+(('Edistynyt vuokratuottolaskuri'!$I$7+$N$68)*'Edistynyt vuokratuottolaskuri'!$C$9*(1-'Edistynyt vuokratuottolaskuri'!$C$41))</f>
        <v>0</v>
      </c>
      <c r="O71" s="15">
        <f>-'Edistynyt vuokratuottolaskuri'!$C$10*('Edistynyt vuokratuottolaskuri'!$I$7+N71-('Edistynyt vuokratuottolaskuri'!$I$17-(N71*Veroaste)))/12</f>
        <v>0</v>
      </c>
      <c r="P71" s="15">
        <f>P70+'Edistynyt vuokratuottolaskuri'!$I$19+N71+O71</f>
        <v>1971.3106179618055</v>
      </c>
      <c r="Q71" s="15">
        <f>IF(P70&gt;0,(P70*('Edistynyt vuokratuottolaskuri'!$F$7/12)),0)</f>
        <v>10.511326983984034</v>
      </c>
      <c r="R71" s="15"/>
      <c r="S71" s="15"/>
      <c r="T71" s="15"/>
      <c r="U71" s="15"/>
      <c r="V71" s="15">
        <f t="shared" si="10"/>
        <v>0</v>
      </c>
      <c r="W71" s="15">
        <f>W70+'Edistynyt vuokratuottolaskuri'!$I$19+Q71+N71</f>
        <v>2302.4174179573029</v>
      </c>
    </row>
    <row r="72" spans="1:23" x14ac:dyDescent="0.2">
      <c r="B72" s="2">
        <v>64</v>
      </c>
      <c r="C72" s="15">
        <f>C60+('Edistynyt vuokratuottolaskuri'!$C$52*C60)</f>
        <v>80927.773857699998</v>
      </c>
      <c r="D72" s="15">
        <f t="shared" si="9"/>
        <v>32110.541130663696</v>
      </c>
      <c r="E72" s="15">
        <f>-PMT(('Edistynyt vuokratuottolaskuri'!$C$33/12),('Edistynyt vuokratuottolaskuri'!$C$34*12),('Edistynyt vuokratuottolaskuri'!$C$29),0,0)</f>
        <v>209.63805404269655</v>
      </c>
      <c r="F72" s="15">
        <f>E72-(D72*('Edistynyt vuokratuottolaskuri'!$C$33/12))</f>
        <v>156.12048549159039</v>
      </c>
      <c r="G72" s="15">
        <f>IF(Lyhennystapa="Annuiteetti",(D72-F72),IF(Lyhennystapa="Tasalyhennys",(D72-'Edistynyt vuokratuottolaskuri'!$C$38),IF(Lyhennystapa="Bullet",D71,"")))</f>
        <v>31954.420645172107</v>
      </c>
      <c r="H72" s="15">
        <f t="shared" si="5"/>
        <v>5999.2503594170075</v>
      </c>
      <c r="I72" s="15">
        <f>-PMT(('Edistynyt vuokratuottolaskuri'!$C$18/12),('Edistynyt vuokratuottolaskuri'!$C$19*12),('Edistynyt vuokratuottolaskuri'!$C$17),0,0)</f>
        <v>110.41614461107285</v>
      </c>
      <c r="J72" s="15">
        <f>I72-(H72*('Edistynyt vuokratuottolaskuri'!$C$18/12))</f>
        <v>100.41739401204451</v>
      </c>
      <c r="K72" s="15">
        <f t="shared" si="4"/>
        <v>5898.832965404963</v>
      </c>
      <c r="L72" s="15">
        <f t="shared" si="1"/>
        <v>37853.253610577071</v>
      </c>
      <c r="M72" s="15">
        <f>'Edistynyt vuokratuottolaskuri'!$C$6-K72-G72</f>
        <v>34146.746389422929</v>
      </c>
      <c r="N72" s="15">
        <f>$N$68+(('Edistynyt vuokratuottolaskuri'!$I$7+$N$68)*'Edistynyt vuokratuottolaskuri'!$C$9*(1-'Edistynyt vuokratuottolaskuri'!$C$41))</f>
        <v>0</v>
      </c>
      <c r="O72" s="15">
        <f>-'Edistynyt vuokratuottolaskuri'!$C$10*('Edistynyt vuokratuottolaskuri'!$I$7+N72-('Edistynyt vuokratuottolaskuri'!$I$17-(N72*Veroaste)))/12</f>
        <v>0</v>
      </c>
      <c r="P72" s="15">
        <f>P71+'Edistynyt vuokratuottolaskuri'!$I$19+N72+O72</f>
        <v>2002.601262691358</v>
      </c>
      <c r="Q72" s="15">
        <f>IF(P71&gt;0,(P71*('Edistynyt vuokratuottolaskuri'!$F$7/12)),0)</f>
        <v>10.680864515983776</v>
      </c>
      <c r="R72" s="15"/>
      <c r="S72" s="15"/>
      <c r="T72" s="15"/>
      <c r="U72" s="15"/>
      <c r="V72" s="15">
        <f t="shared" si="10"/>
        <v>0</v>
      </c>
      <c r="W72" s="15">
        <f>W71+'Edistynyt vuokratuottolaskuri'!$I$19+Q72+N72</f>
        <v>2344.3889272028391</v>
      </c>
    </row>
    <row r="73" spans="1:23" x14ac:dyDescent="0.2">
      <c r="B73" s="2">
        <v>65</v>
      </c>
      <c r="C73" s="15">
        <f>C61+('Edistynyt vuokratuottolaskuri'!$C$52*C61)</f>
        <v>80927.773857699998</v>
      </c>
      <c r="D73" s="15">
        <f t="shared" si="9"/>
        <v>31954.420645172107</v>
      </c>
      <c r="E73" s="15">
        <f>-PMT(('Edistynyt vuokratuottolaskuri'!$C$33/12),('Edistynyt vuokratuottolaskuri'!$C$34*12),('Edistynyt vuokratuottolaskuri'!$C$29),0,0)</f>
        <v>209.63805404269655</v>
      </c>
      <c r="F73" s="15">
        <f>E73-(D73*('Edistynyt vuokratuottolaskuri'!$C$33/12))</f>
        <v>156.38068630074304</v>
      </c>
      <c r="G73" s="15">
        <f>IF(Lyhennystapa="Annuiteetti",(D73-F73),IF(Lyhennystapa="Tasalyhennys",(D73-'Edistynyt vuokratuottolaskuri'!$C$38),IF(Lyhennystapa="Bullet",D72,"")))</f>
        <v>31798.039958871363</v>
      </c>
      <c r="H73" s="15">
        <f t="shared" si="5"/>
        <v>5898.832965404963</v>
      </c>
      <c r="I73" s="15">
        <f>-PMT(('Edistynyt vuokratuottolaskuri'!$C$18/12),('Edistynyt vuokratuottolaskuri'!$C$19*12),('Edistynyt vuokratuottolaskuri'!$C$17),0,0)</f>
        <v>110.41614461107285</v>
      </c>
      <c r="J73" s="15">
        <f>I73-(H73*('Edistynyt vuokratuottolaskuri'!$C$18/12))</f>
        <v>100.58475633539791</v>
      </c>
      <c r="K73" s="15">
        <f t="shared" si="4"/>
        <v>5798.2482090695648</v>
      </c>
      <c r="L73" s="15">
        <f t="shared" si="1"/>
        <v>37596.288167940926</v>
      </c>
      <c r="M73" s="15">
        <f>'Edistynyt vuokratuottolaskuri'!$C$6-K73-G73</f>
        <v>34403.711832059067</v>
      </c>
      <c r="N73" s="15">
        <f>$N$68+(('Edistynyt vuokratuottolaskuri'!$I$7+$N$68)*'Edistynyt vuokratuottolaskuri'!$C$9*(1-'Edistynyt vuokratuottolaskuri'!$C$41))</f>
        <v>0</v>
      </c>
      <c r="O73" s="15">
        <f>-'Edistynyt vuokratuottolaskuri'!$C$10*('Edistynyt vuokratuottolaskuri'!$I$7+N73-('Edistynyt vuokratuottolaskuri'!$I$17-(N73*Veroaste)))/12</f>
        <v>0</v>
      </c>
      <c r="P73" s="15">
        <f>P72+'Edistynyt vuokratuottolaskuri'!$I$19+N73+O73</f>
        <v>2033.8919074209105</v>
      </c>
      <c r="Q73" s="15">
        <f>IF(P72&gt;0,(P72*('Edistynyt vuokratuottolaskuri'!$F$7/12)),0)</f>
        <v>10.85040204798352</v>
      </c>
      <c r="R73" s="15"/>
      <c r="S73" s="15"/>
      <c r="T73" s="15"/>
      <c r="U73" s="15"/>
      <c r="V73" s="15">
        <f t="shared" si="10"/>
        <v>0</v>
      </c>
      <c r="W73" s="15">
        <f>W72+'Edistynyt vuokratuottolaskuri'!$I$19+Q73+N73</f>
        <v>2386.5299739803754</v>
      </c>
    </row>
    <row r="74" spans="1:23" x14ac:dyDescent="0.2">
      <c r="B74" s="2">
        <v>66</v>
      </c>
      <c r="C74" s="15">
        <f>C62+('Edistynyt vuokratuottolaskuri'!$C$52*C62)</f>
        <v>80927.773857699998</v>
      </c>
      <c r="D74" s="15">
        <f t="shared" si="9"/>
        <v>31798.039958871363</v>
      </c>
      <c r="E74" s="15">
        <f>-PMT(('Edistynyt vuokratuottolaskuri'!$C$33/12),('Edistynyt vuokratuottolaskuri'!$C$34*12),('Edistynyt vuokratuottolaskuri'!$C$29),0,0)</f>
        <v>209.63805404269655</v>
      </c>
      <c r="F74" s="15">
        <f>E74-(D74*('Edistynyt vuokratuottolaskuri'!$C$33/12))</f>
        <v>156.64132077791095</v>
      </c>
      <c r="G74" s="15">
        <f>IF(Lyhennystapa="Annuiteetti",(D74-F74),IF(Lyhennystapa="Tasalyhennys",(D74-'Edistynyt vuokratuottolaskuri'!$C$38),IF(Lyhennystapa="Bullet",D73,"")))</f>
        <v>31641.398638093451</v>
      </c>
      <c r="H74" s="15">
        <f t="shared" si="5"/>
        <v>5798.2482090695648</v>
      </c>
      <c r="I74" s="15">
        <f>-PMT(('Edistynyt vuokratuottolaskuri'!$C$18/12),('Edistynyt vuokratuottolaskuri'!$C$19*12),('Edistynyt vuokratuottolaskuri'!$C$17),0,0)</f>
        <v>110.41614461107285</v>
      </c>
      <c r="J74" s="15">
        <f>I74-(H74*('Edistynyt vuokratuottolaskuri'!$C$18/12))</f>
        <v>100.75239759595691</v>
      </c>
      <c r="K74" s="15">
        <f t="shared" si="4"/>
        <v>5697.4958114736082</v>
      </c>
      <c r="L74" s="15">
        <f t="shared" ref="L74:L137" si="11">K74+G74</f>
        <v>37338.894449567058</v>
      </c>
      <c r="M74" s="15">
        <f>'Edistynyt vuokratuottolaskuri'!$C$6-K74-G74</f>
        <v>34661.105550432942</v>
      </c>
      <c r="N74" s="15">
        <f>$N$68+(('Edistynyt vuokratuottolaskuri'!$I$7+$N$68)*'Edistynyt vuokratuottolaskuri'!$C$9*(1-'Edistynyt vuokratuottolaskuri'!$C$41))</f>
        <v>0</v>
      </c>
      <c r="O74" s="15">
        <f>-'Edistynyt vuokratuottolaskuri'!$C$10*('Edistynyt vuokratuottolaskuri'!$I$7+N74-('Edistynyt vuokratuottolaskuri'!$I$17-(N74*Veroaste)))/12</f>
        <v>0</v>
      </c>
      <c r="P74" s="15">
        <f>P73+'Edistynyt vuokratuottolaskuri'!$I$19+N74+O74</f>
        <v>2065.1825521504629</v>
      </c>
      <c r="Q74" s="15">
        <f>IF(P73&gt;0,(P73*('Edistynyt vuokratuottolaskuri'!$F$7/12)),0)</f>
        <v>11.019939579983262</v>
      </c>
      <c r="R74" s="15"/>
      <c r="S74" s="15"/>
      <c r="T74" s="15"/>
      <c r="U74" s="15"/>
      <c r="V74" s="15">
        <f t="shared" si="10"/>
        <v>0</v>
      </c>
      <c r="W74" s="15">
        <f>W73+'Edistynyt vuokratuottolaskuri'!$I$19+Q74+N74</f>
        <v>2428.8405582899109</v>
      </c>
    </row>
    <row r="75" spans="1:23" x14ac:dyDescent="0.2">
      <c r="B75" s="2">
        <v>67</v>
      </c>
      <c r="C75" s="15">
        <f>C63+('Edistynyt vuokratuottolaskuri'!$C$52*C63)</f>
        <v>80927.773857699998</v>
      </c>
      <c r="D75" s="15">
        <f t="shared" si="9"/>
        <v>31641.398638093451</v>
      </c>
      <c r="E75" s="15">
        <f>-PMT(('Edistynyt vuokratuottolaskuri'!$C$33/12),('Edistynyt vuokratuottolaskuri'!$C$34*12),('Edistynyt vuokratuottolaskuri'!$C$29),0,0)</f>
        <v>209.63805404269655</v>
      </c>
      <c r="F75" s="15">
        <f>E75-(D75*('Edistynyt vuokratuottolaskuri'!$C$33/12))</f>
        <v>156.90238964587414</v>
      </c>
      <c r="G75" s="15">
        <f>IF(Lyhennystapa="Annuiteetti",(D75-F75),IF(Lyhennystapa="Tasalyhennys",(D75-'Edistynyt vuokratuottolaskuri'!$C$38),IF(Lyhennystapa="Bullet",D74,"")))</f>
        <v>31484.496248447576</v>
      </c>
      <c r="H75" s="15">
        <f t="shared" si="5"/>
        <v>5697.4958114736082</v>
      </c>
      <c r="I75" s="15">
        <f>-PMT(('Edistynyt vuokratuottolaskuri'!$C$18/12),('Edistynyt vuokratuottolaskuri'!$C$19*12),('Edistynyt vuokratuottolaskuri'!$C$17),0,0)</f>
        <v>110.41614461107285</v>
      </c>
      <c r="J75" s="15">
        <f>I75-(H75*('Edistynyt vuokratuottolaskuri'!$C$18/12))</f>
        <v>100.92031825861685</v>
      </c>
      <c r="K75" s="15">
        <f t="shared" ref="K75:K138" si="12">IF(K74&gt;0.01,H75-J75,0)</f>
        <v>5596.5754932149912</v>
      </c>
      <c r="L75" s="15">
        <f t="shared" si="11"/>
        <v>37081.07174166257</v>
      </c>
      <c r="M75" s="15">
        <f>'Edistynyt vuokratuottolaskuri'!$C$6-K75-G75</f>
        <v>34918.928258337437</v>
      </c>
      <c r="N75" s="15">
        <f>$N$68+(('Edistynyt vuokratuottolaskuri'!$I$7+$N$68)*'Edistynyt vuokratuottolaskuri'!$C$9*(1-'Edistynyt vuokratuottolaskuri'!$C$41))</f>
        <v>0</v>
      </c>
      <c r="O75" s="15">
        <f>-'Edistynyt vuokratuottolaskuri'!$C$10*('Edistynyt vuokratuottolaskuri'!$I$7+N75-('Edistynyt vuokratuottolaskuri'!$I$17-(N75*Veroaste)))/12</f>
        <v>0</v>
      </c>
      <c r="P75" s="15">
        <f>P74+'Edistynyt vuokratuottolaskuri'!$I$19+N75+O75</f>
        <v>2096.4731968800152</v>
      </c>
      <c r="Q75" s="15">
        <f>IF(P74&gt;0,(P74*('Edistynyt vuokratuottolaskuri'!$F$7/12)),0)</f>
        <v>11.189477111983004</v>
      </c>
      <c r="R75" s="15"/>
      <c r="S75" s="15"/>
      <c r="T75" s="15"/>
      <c r="U75" s="15"/>
      <c r="V75" s="15">
        <f t="shared" si="10"/>
        <v>0</v>
      </c>
      <c r="W75" s="15">
        <f>W74+'Edistynyt vuokratuottolaskuri'!$I$19+Q75+N75</f>
        <v>2471.3206801314459</v>
      </c>
    </row>
    <row r="76" spans="1:23" x14ac:dyDescent="0.2">
      <c r="B76" s="2">
        <v>68</v>
      </c>
      <c r="C76" s="15">
        <f>C64+('Edistynyt vuokratuottolaskuri'!$C$52*C64)</f>
        <v>80927.773857699998</v>
      </c>
      <c r="D76" s="15">
        <f t="shared" si="9"/>
        <v>31484.496248447576</v>
      </c>
      <c r="E76" s="15">
        <f>-PMT(('Edistynyt vuokratuottolaskuri'!$C$33/12),('Edistynyt vuokratuottolaskuri'!$C$34*12),('Edistynyt vuokratuottolaskuri'!$C$29),0,0)</f>
        <v>209.63805404269655</v>
      </c>
      <c r="F76" s="15">
        <f>E76-(D76*('Edistynyt vuokratuottolaskuri'!$C$33/12))</f>
        <v>157.16389362861725</v>
      </c>
      <c r="G76" s="15">
        <f>IF(Lyhennystapa="Annuiteetti",(D76-F76),IF(Lyhennystapa="Tasalyhennys",(D76-'Edistynyt vuokratuottolaskuri'!$C$38),IF(Lyhennystapa="Bullet",D75,"")))</f>
        <v>31327.332354818958</v>
      </c>
      <c r="H76" s="15">
        <f t="shared" si="5"/>
        <v>5596.5754932149912</v>
      </c>
      <c r="I76" s="15">
        <f>-PMT(('Edistynyt vuokratuottolaskuri'!$C$18/12),('Edistynyt vuokratuottolaskuri'!$C$19*12),('Edistynyt vuokratuottolaskuri'!$C$17),0,0)</f>
        <v>110.41614461107285</v>
      </c>
      <c r="J76" s="15">
        <f>I76-(H76*('Edistynyt vuokratuottolaskuri'!$C$18/12))</f>
        <v>101.08851878904787</v>
      </c>
      <c r="K76" s="15">
        <f t="shared" si="12"/>
        <v>5495.4869744259431</v>
      </c>
      <c r="L76" s="15">
        <f t="shared" si="11"/>
        <v>36822.8193292449</v>
      </c>
      <c r="M76" s="15">
        <f>'Edistynyt vuokratuottolaskuri'!$C$6-K76-G76</f>
        <v>35177.180670755093</v>
      </c>
      <c r="N76" s="15">
        <f>$N$68+(('Edistynyt vuokratuottolaskuri'!$I$7+$N$68)*'Edistynyt vuokratuottolaskuri'!$C$9*(1-'Edistynyt vuokratuottolaskuri'!$C$41))</f>
        <v>0</v>
      </c>
      <c r="O76" s="15">
        <f>-'Edistynyt vuokratuottolaskuri'!$C$10*('Edistynyt vuokratuottolaskuri'!$I$7+N76-('Edistynyt vuokratuottolaskuri'!$I$17-(N76*Veroaste)))/12</f>
        <v>0</v>
      </c>
      <c r="P76" s="15">
        <f>P75+'Edistynyt vuokratuottolaskuri'!$I$19+N76+O76</f>
        <v>2127.7638416095679</v>
      </c>
      <c r="Q76" s="15">
        <f>IF(P75&gt;0,(P75*('Edistynyt vuokratuottolaskuri'!$F$7/12)),0)</f>
        <v>11.359014643982746</v>
      </c>
      <c r="R76" s="15"/>
      <c r="S76" s="15"/>
      <c r="T76" s="15"/>
      <c r="U76" s="15"/>
      <c r="V76" s="15">
        <f t="shared" si="10"/>
        <v>0</v>
      </c>
      <c r="W76" s="15">
        <f>W75+'Edistynyt vuokratuottolaskuri'!$I$19+Q76+N76</f>
        <v>2513.970339504981</v>
      </c>
    </row>
    <row r="77" spans="1:23" x14ac:dyDescent="0.2">
      <c r="B77" s="2">
        <v>69</v>
      </c>
      <c r="C77" s="15">
        <f>C65+('Edistynyt vuokratuottolaskuri'!$C$52*C65)</f>
        <v>80927.773857699998</v>
      </c>
      <c r="D77" s="15">
        <f t="shared" si="9"/>
        <v>31327.332354818958</v>
      </c>
      <c r="E77" s="15">
        <f>-PMT(('Edistynyt vuokratuottolaskuri'!$C$33/12),('Edistynyt vuokratuottolaskuri'!$C$34*12),('Edistynyt vuokratuottolaskuri'!$C$29),0,0)</f>
        <v>209.63805404269655</v>
      </c>
      <c r="F77" s="15">
        <f>E77-(D77*('Edistynyt vuokratuottolaskuri'!$C$33/12))</f>
        <v>157.42583345133161</v>
      </c>
      <c r="G77" s="15">
        <f>IF(Lyhennystapa="Annuiteetti",(D77-F77),IF(Lyhennystapa="Tasalyhennys",(D77-'Edistynyt vuokratuottolaskuri'!$C$38),IF(Lyhennystapa="Bullet",D76,"")))</f>
        <v>31169.906521367626</v>
      </c>
      <c r="H77" s="15">
        <f t="shared" si="5"/>
        <v>5495.4869744259431</v>
      </c>
      <c r="I77" s="15">
        <f>-PMT(('Edistynyt vuokratuottolaskuri'!$C$18/12),('Edistynyt vuokratuottolaskuri'!$C$19*12),('Edistynyt vuokratuottolaskuri'!$C$17),0,0)</f>
        <v>110.41614461107285</v>
      </c>
      <c r="J77" s="15">
        <f>I77-(H77*('Edistynyt vuokratuottolaskuri'!$C$18/12))</f>
        <v>101.25699965369628</v>
      </c>
      <c r="K77" s="15">
        <f t="shared" si="12"/>
        <v>5394.2299747722473</v>
      </c>
      <c r="L77" s="15">
        <f t="shared" si="11"/>
        <v>36564.136496139872</v>
      </c>
      <c r="M77" s="15">
        <f>'Edistynyt vuokratuottolaskuri'!$C$6-K77-G77</f>
        <v>35435.863503860135</v>
      </c>
      <c r="N77" s="15">
        <f>$N$68+(('Edistynyt vuokratuottolaskuri'!$I$7+$N$68)*'Edistynyt vuokratuottolaskuri'!$C$9*(1-'Edistynyt vuokratuottolaskuri'!$C$41))</f>
        <v>0</v>
      </c>
      <c r="O77" s="15">
        <f>-'Edistynyt vuokratuottolaskuri'!$C$10*('Edistynyt vuokratuottolaskuri'!$I$7+N77-('Edistynyt vuokratuottolaskuri'!$I$17-(N77*Veroaste)))/12</f>
        <v>0</v>
      </c>
      <c r="P77" s="15">
        <f>P76+'Edistynyt vuokratuottolaskuri'!$I$19+N77+O77</f>
        <v>2159.0544863391206</v>
      </c>
      <c r="Q77" s="15">
        <f>IF(P76&gt;0,(P76*('Edistynyt vuokratuottolaskuri'!$F$7/12)),0)</f>
        <v>11.528552175982488</v>
      </c>
      <c r="R77" s="15"/>
      <c r="S77" s="15"/>
      <c r="T77" s="15"/>
      <c r="U77" s="15"/>
      <c r="V77" s="15">
        <f t="shared" si="10"/>
        <v>0</v>
      </c>
      <c r="W77" s="15">
        <f>W76+'Edistynyt vuokratuottolaskuri'!$I$19+Q77+N77</f>
        <v>2556.7895364105161</v>
      </c>
    </row>
    <row r="78" spans="1:23" x14ac:dyDescent="0.2">
      <c r="B78" s="2">
        <v>70</v>
      </c>
      <c r="C78" s="15">
        <f>C66+('Edistynyt vuokratuottolaskuri'!$C$52*C66)</f>
        <v>80927.773857699998</v>
      </c>
      <c r="D78" s="15">
        <f t="shared" si="9"/>
        <v>31169.906521367626</v>
      </c>
      <c r="E78" s="15">
        <f>-PMT(('Edistynyt vuokratuottolaskuri'!$C$33/12),('Edistynyt vuokratuottolaskuri'!$C$34*12),('Edistynyt vuokratuottolaskuri'!$C$29),0,0)</f>
        <v>209.63805404269655</v>
      </c>
      <c r="F78" s="15">
        <f>E78-(D78*('Edistynyt vuokratuottolaskuri'!$C$33/12))</f>
        <v>157.68820984041719</v>
      </c>
      <c r="G78" s="15">
        <f>IF(Lyhennystapa="Annuiteetti",(D78-F78),IF(Lyhennystapa="Tasalyhennys",(D78-'Edistynyt vuokratuottolaskuri'!$C$38),IF(Lyhennystapa="Bullet",D77,"")))</f>
        <v>31012.218311527209</v>
      </c>
      <c r="H78" s="15">
        <f t="shared" si="5"/>
        <v>5394.2299747722473</v>
      </c>
      <c r="I78" s="15">
        <f>-PMT(('Edistynyt vuokratuottolaskuri'!$C$18/12),('Edistynyt vuokratuottolaskuri'!$C$19*12),('Edistynyt vuokratuottolaskuri'!$C$17),0,0)</f>
        <v>110.41614461107285</v>
      </c>
      <c r="J78" s="15">
        <f>I78-(H78*('Edistynyt vuokratuottolaskuri'!$C$18/12))</f>
        <v>101.42576131978578</v>
      </c>
      <c r="K78" s="15">
        <f t="shared" si="12"/>
        <v>5292.8042134524612</v>
      </c>
      <c r="L78" s="15">
        <f t="shared" si="11"/>
        <v>36305.022524979671</v>
      </c>
      <c r="M78" s="15">
        <f>'Edistynyt vuokratuottolaskuri'!$C$6-K78-G78</f>
        <v>35694.977475020336</v>
      </c>
      <c r="N78" s="15">
        <f>$N$68+(('Edistynyt vuokratuottolaskuri'!$I$7+$N$68)*'Edistynyt vuokratuottolaskuri'!$C$9*(1-'Edistynyt vuokratuottolaskuri'!$C$41))</f>
        <v>0</v>
      </c>
      <c r="O78" s="15">
        <f>-'Edistynyt vuokratuottolaskuri'!$C$10*('Edistynyt vuokratuottolaskuri'!$I$7+N78-('Edistynyt vuokratuottolaskuri'!$I$17-(N78*Veroaste)))/12</f>
        <v>0</v>
      </c>
      <c r="P78" s="15">
        <f>P77+'Edistynyt vuokratuottolaskuri'!$I$19+N78+O78</f>
        <v>2190.3451310686733</v>
      </c>
      <c r="Q78" s="15">
        <f>IF(P77&gt;0,(P77*('Edistynyt vuokratuottolaskuri'!$F$7/12)),0)</f>
        <v>11.698089707982232</v>
      </c>
      <c r="R78" s="15"/>
      <c r="S78" s="15"/>
      <c r="T78" s="15"/>
      <c r="U78" s="15"/>
      <c r="V78" s="15">
        <f t="shared" si="10"/>
        <v>0</v>
      </c>
      <c r="W78" s="15">
        <f>W77+'Edistynyt vuokratuottolaskuri'!$I$19+Q78+N78</f>
        <v>2599.7782708480509</v>
      </c>
    </row>
    <row r="79" spans="1:23" x14ac:dyDescent="0.2">
      <c r="B79" s="2">
        <v>71</v>
      </c>
      <c r="C79" s="15">
        <f>C67+('Edistynyt vuokratuottolaskuri'!$C$52*C67)</f>
        <v>80927.773857699998</v>
      </c>
      <c r="D79" s="15">
        <f t="shared" si="9"/>
        <v>31012.218311527209</v>
      </c>
      <c r="E79" s="15">
        <f>-PMT(('Edistynyt vuokratuottolaskuri'!$C$33/12),('Edistynyt vuokratuottolaskuri'!$C$34*12),('Edistynyt vuokratuottolaskuri'!$C$29),0,0)</f>
        <v>209.63805404269655</v>
      </c>
      <c r="F79" s="15">
        <f>E79-(D79*('Edistynyt vuokratuottolaskuri'!$C$33/12))</f>
        <v>157.95102352348454</v>
      </c>
      <c r="G79" s="15">
        <f>IF(Lyhennystapa="Annuiteetti",(D79-F79),IF(Lyhennystapa="Tasalyhennys",(D79-'Edistynyt vuokratuottolaskuri'!$C$38),IF(Lyhennystapa="Bullet",D78,"")))</f>
        <v>30854.267288003724</v>
      </c>
      <c r="H79" s="15">
        <f t="shared" si="5"/>
        <v>5292.8042134524612</v>
      </c>
      <c r="I79" s="15">
        <f>-PMT(('Edistynyt vuokratuottolaskuri'!$C$18/12),('Edistynyt vuokratuottolaskuri'!$C$19*12),('Edistynyt vuokratuottolaskuri'!$C$17),0,0)</f>
        <v>110.41614461107285</v>
      </c>
      <c r="J79" s="15">
        <f>I79-(H79*('Edistynyt vuokratuottolaskuri'!$C$18/12))</f>
        <v>101.59480425531875</v>
      </c>
      <c r="K79" s="15">
        <f t="shared" si="12"/>
        <v>5191.2094091971421</v>
      </c>
      <c r="L79" s="15">
        <f t="shared" si="11"/>
        <v>36045.476697200866</v>
      </c>
      <c r="M79" s="15">
        <f>'Edistynyt vuokratuottolaskuri'!$C$6-K79-G79</f>
        <v>35954.523302799134</v>
      </c>
      <c r="N79" s="15">
        <f>$N$68+(('Edistynyt vuokratuottolaskuri'!$I$7+$N$68)*'Edistynyt vuokratuottolaskuri'!$C$9*(1-'Edistynyt vuokratuottolaskuri'!$C$41))</f>
        <v>0</v>
      </c>
      <c r="O79" s="15">
        <f>-'Edistynyt vuokratuottolaskuri'!$C$10*('Edistynyt vuokratuottolaskuri'!$I$7+N79-('Edistynyt vuokratuottolaskuri'!$I$17-(N79*Veroaste)))/12</f>
        <v>0</v>
      </c>
      <c r="P79" s="15">
        <f>P78+'Edistynyt vuokratuottolaskuri'!$I$19+N79+O79</f>
        <v>2221.6357757982259</v>
      </c>
      <c r="Q79" s="15">
        <f>IF(P78&gt;0,(P78*('Edistynyt vuokratuottolaskuri'!$F$7/12)),0)</f>
        <v>11.867627239981976</v>
      </c>
      <c r="R79" s="15"/>
      <c r="S79" s="15"/>
      <c r="T79" s="15"/>
      <c r="U79" s="15"/>
      <c r="V79" s="15">
        <f t="shared" si="10"/>
        <v>0</v>
      </c>
      <c r="W79" s="15">
        <f>W78+'Edistynyt vuokratuottolaskuri'!$I$19+Q79+N79</f>
        <v>2642.9365428175856</v>
      </c>
    </row>
    <row r="80" spans="1:23" x14ac:dyDescent="0.2">
      <c r="B80" s="2">
        <v>72</v>
      </c>
      <c r="C80" s="15">
        <f>C68+('Edistynyt vuokratuottolaskuri'!$C$52*C68)</f>
        <v>80927.773857699998</v>
      </c>
      <c r="D80" s="15">
        <f t="shared" si="9"/>
        <v>30854.267288003724</v>
      </c>
      <c r="E80" s="15">
        <f>-PMT(('Edistynyt vuokratuottolaskuri'!$C$33/12),('Edistynyt vuokratuottolaskuri'!$C$34*12),('Edistynyt vuokratuottolaskuri'!$C$29),0,0)</f>
        <v>209.63805404269655</v>
      </c>
      <c r="F80" s="15">
        <f>E80-(D80*('Edistynyt vuokratuottolaskuri'!$C$33/12))</f>
        <v>158.21427522935701</v>
      </c>
      <c r="G80" s="15">
        <f>IF(Lyhennystapa="Annuiteetti",(D80-F80),IF(Lyhennystapa="Tasalyhennys",(D80-'Edistynyt vuokratuottolaskuri'!$C$38),IF(Lyhennystapa="Bullet",D79,"")))</f>
        <v>30696.053012774366</v>
      </c>
      <c r="H80" s="15">
        <f t="shared" si="5"/>
        <v>5191.2094091971421</v>
      </c>
      <c r="I80" s="15">
        <f>-PMT(('Edistynyt vuokratuottolaskuri'!$C$18/12),('Edistynyt vuokratuottolaskuri'!$C$19*12),('Edistynyt vuokratuottolaskuri'!$C$17),0,0)</f>
        <v>110.41614461107285</v>
      </c>
      <c r="J80" s="15">
        <f>I80-(H80*('Edistynyt vuokratuottolaskuri'!$C$18/12))</f>
        <v>101.76412892907761</v>
      </c>
      <c r="K80" s="15">
        <f t="shared" si="12"/>
        <v>5089.4452802680644</v>
      </c>
      <c r="L80" s="15">
        <f t="shared" si="11"/>
        <v>35785.49829304243</v>
      </c>
      <c r="M80" s="15">
        <f>'Edistynyt vuokratuottolaskuri'!$C$6-K80-G80</f>
        <v>36214.50170695757</v>
      </c>
      <c r="N80" s="15">
        <f>$N$68+(('Edistynyt vuokratuottolaskuri'!$I$7+$N$68)*'Edistynyt vuokratuottolaskuri'!$C$9*(1-'Edistynyt vuokratuottolaskuri'!$C$41))</f>
        <v>0</v>
      </c>
      <c r="O80" s="15">
        <f>-'Edistynyt vuokratuottolaskuri'!$C$10*('Edistynyt vuokratuottolaskuri'!$I$7+N80-('Edistynyt vuokratuottolaskuri'!$I$17-(N80*Veroaste)))/12</f>
        <v>0</v>
      </c>
      <c r="P80" s="15">
        <f>P79+'Edistynyt vuokratuottolaskuri'!$I$19+N80+O80</f>
        <v>2252.9264205277786</v>
      </c>
      <c r="Q80" s="15">
        <f>IF(P79&gt;0,(P79*('Edistynyt vuokratuottolaskuri'!$F$7/12)),0)</f>
        <v>12.03716477198172</v>
      </c>
      <c r="R80" s="15"/>
      <c r="S80" s="15"/>
      <c r="T80" s="15"/>
      <c r="U80" s="15"/>
      <c r="V80" s="15">
        <f t="shared" si="10"/>
        <v>0</v>
      </c>
      <c r="W80" s="15">
        <f>W79+'Edistynyt vuokratuottolaskuri'!$I$19+Q80+N80</f>
        <v>2686.2643523191196</v>
      </c>
    </row>
    <row r="81" spans="1:23" x14ac:dyDescent="0.2">
      <c r="A81" s="2" t="s">
        <v>41</v>
      </c>
      <c r="B81" s="2">
        <v>73</v>
      </c>
      <c r="C81" s="15">
        <f>C69+('Edistynyt vuokratuottolaskuri'!$C$52*C69)</f>
        <v>81737.051596277</v>
      </c>
      <c r="D81" s="15">
        <f t="shared" si="9"/>
        <v>30696.053012774366</v>
      </c>
      <c r="E81" s="15">
        <f>-PMT(('Edistynyt vuokratuottolaskuri'!$C$33/12),('Edistynyt vuokratuottolaskuri'!$C$34*12),('Edistynyt vuokratuottolaskuri'!$C$29),0,0)</f>
        <v>209.63805404269655</v>
      </c>
      <c r="F81" s="15">
        <f>E81-(D81*('Edistynyt vuokratuottolaskuri'!$C$33/12))</f>
        <v>158.4779656880726</v>
      </c>
      <c r="G81" s="15">
        <f>IF(Lyhennystapa="Annuiteetti",(D81-F81),IF(Lyhennystapa="Tasalyhennys",(D81-'Edistynyt vuokratuottolaskuri'!$C$38),IF(Lyhennystapa="Bullet",D80,"")))</f>
        <v>30537.575047086295</v>
      </c>
      <c r="H81" s="15">
        <f t="shared" si="5"/>
        <v>5089.4452802680644</v>
      </c>
      <c r="I81" s="15">
        <f>-PMT(('Edistynyt vuokratuottolaskuri'!$C$18/12),('Edistynyt vuokratuottolaskuri'!$C$19*12),('Edistynyt vuokratuottolaskuri'!$C$17),0,0)</f>
        <v>110.41614461107285</v>
      </c>
      <c r="J81" s="15">
        <f>I81-(H81*('Edistynyt vuokratuottolaskuri'!$C$18/12))</f>
        <v>101.93373581062608</v>
      </c>
      <c r="K81" s="15">
        <f t="shared" si="12"/>
        <v>4987.5115444574385</v>
      </c>
      <c r="L81" s="15">
        <f t="shared" si="11"/>
        <v>35525.086591543732</v>
      </c>
      <c r="M81" s="15">
        <f>'Edistynyt vuokratuottolaskuri'!$C$6-K81-G81</f>
        <v>36474.913408456268</v>
      </c>
      <c r="N81" s="15">
        <f>$N$80+(('Edistynyt vuokratuottolaskuri'!$I$7+$N$80)*'Edistynyt vuokratuottolaskuri'!$C$9*(1-'Edistynyt vuokratuottolaskuri'!$C$41))</f>
        <v>0</v>
      </c>
      <c r="O81" s="15">
        <f>-'Edistynyt vuokratuottolaskuri'!$C$10*('Edistynyt vuokratuottolaskuri'!$I$7+N81-('Edistynyt vuokratuottolaskuri'!$I$17-(N81*Veroaste)))/12</f>
        <v>0</v>
      </c>
      <c r="P81" s="15">
        <f>P80+'Edistynyt vuokratuottolaskuri'!$I$19+N81+O81</f>
        <v>2284.2170652573313</v>
      </c>
      <c r="Q81" s="15">
        <f>IF(P80&gt;0,(P80*('Edistynyt vuokratuottolaskuri'!$F$7/12)),0)</f>
        <v>12.206702303981464</v>
      </c>
      <c r="R81" s="15">
        <f>P80</f>
        <v>2252.9264205277786</v>
      </c>
      <c r="S81" s="15">
        <f>(IF(C81&gt;=$C$9,C81,$C$9))-L80-'Edistynyt vuokratuottolaskuri'!$C$28</f>
        <v>25951.55330323457</v>
      </c>
      <c r="T81" s="15">
        <f>R81+S81</f>
        <v>28204.47972376235</v>
      </c>
      <c r="U81" s="15">
        <f>(R69+(S69*'Edistynyt vuokratuottolaskuri'!$C$42)+U69)*0.1+U69</f>
        <v>6547.9493081117089</v>
      </c>
      <c r="V81" s="15">
        <f>T81+U81</f>
        <v>34752.42903187406</v>
      </c>
      <c r="W81" s="15">
        <f>W80+'Edistynyt vuokratuottolaskuri'!$I$19+Q81+N81</f>
        <v>2729.7616993526531</v>
      </c>
    </row>
    <row r="82" spans="1:23" x14ac:dyDescent="0.2">
      <c r="B82" s="2">
        <v>74</v>
      </c>
      <c r="C82" s="15">
        <f>C70+('Edistynyt vuokratuottolaskuri'!$C$52*C70)</f>
        <v>81737.051596277</v>
      </c>
      <c r="D82" s="15">
        <f t="shared" si="9"/>
        <v>30537.575047086295</v>
      </c>
      <c r="E82" s="15">
        <f>-PMT(('Edistynyt vuokratuottolaskuri'!$C$33/12),('Edistynyt vuokratuottolaskuri'!$C$34*12),('Edistynyt vuokratuottolaskuri'!$C$29),0,0)</f>
        <v>209.63805404269655</v>
      </c>
      <c r="F82" s="15">
        <f>E82-(D82*('Edistynyt vuokratuottolaskuri'!$C$33/12))</f>
        <v>158.74209563088607</v>
      </c>
      <c r="G82" s="15">
        <f>IF(Lyhennystapa="Annuiteetti",(D82-F82),IF(Lyhennystapa="Tasalyhennys",(D82-'Edistynyt vuokratuottolaskuri'!$C$38),IF(Lyhennystapa="Bullet",D81,"")))</f>
        <v>30378.83295145541</v>
      </c>
      <c r="H82" s="15">
        <f t="shared" ref="H82:H145" si="13">K81</f>
        <v>4987.5115444574385</v>
      </c>
      <c r="I82" s="15">
        <f>-PMT(('Edistynyt vuokratuottolaskuri'!$C$18/12),('Edistynyt vuokratuottolaskuri'!$C$19*12),('Edistynyt vuokratuottolaskuri'!$C$17),0,0)</f>
        <v>110.41614461107285</v>
      </c>
      <c r="J82" s="15">
        <f>I82-(H82*('Edistynyt vuokratuottolaskuri'!$C$18/12))</f>
        <v>102.10362537031045</v>
      </c>
      <c r="K82" s="15">
        <f t="shared" si="12"/>
        <v>4885.407919087128</v>
      </c>
      <c r="L82" s="15">
        <f t="shared" si="11"/>
        <v>35264.240870542541</v>
      </c>
      <c r="M82" s="15">
        <f>'Edistynyt vuokratuottolaskuri'!$C$6-K82-G82</f>
        <v>36735.759129457467</v>
      </c>
      <c r="N82" s="15">
        <f>$N$80+(('Edistynyt vuokratuottolaskuri'!$I$7+$N$80)*'Edistynyt vuokratuottolaskuri'!$C$9*(1-'Edistynyt vuokratuottolaskuri'!$C$41))</f>
        <v>0</v>
      </c>
      <c r="O82" s="15">
        <f>-'Edistynyt vuokratuottolaskuri'!$C$10*('Edistynyt vuokratuottolaskuri'!$I$7+N82-('Edistynyt vuokratuottolaskuri'!$I$17-(N82*Veroaste)))/12</f>
        <v>0</v>
      </c>
      <c r="P82" s="15">
        <f>P81+'Edistynyt vuokratuottolaskuri'!$I$19+N82+O82</f>
        <v>2315.507709986884</v>
      </c>
      <c r="Q82" s="15">
        <f>IF(P81&gt;0,(P81*('Edistynyt vuokratuottolaskuri'!$F$7/12)),0)</f>
        <v>12.376239835981208</v>
      </c>
      <c r="R82" s="15"/>
      <c r="S82" s="15"/>
      <c r="T82" s="15"/>
      <c r="U82" s="15"/>
      <c r="V82" s="15">
        <f t="shared" si="10"/>
        <v>0</v>
      </c>
      <c r="W82" s="15">
        <f>W81+'Edistynyt vuokratuottolaskuri'!$I$19+Q82+N82</f>
        <v>2773.4285839181866</v>
      </c>
    </row>
    <row r="83" spans="1:23" x14ac:dyDescent="0.2">
      <c r="B83" s="2">
        <v>75</v>
      </c>
      <c r="C83" s="15">
        <f>C71+('Edistynyt vuokratuottolaskuri'!$C$52*C71)</f>
        <v>81737.051596277</v>
      </c>
      <c r="D83" s="15">
        <f t="shared" si="9"/>
        <v>30378.83295145541</v>
      </c>
      <c r="E83" s="15">
        <f>-PMT(('Edistynyt vuokratuottolaskuri'!$C$33/12),('Edistynyt vuokratuottolaskuri'!$C$34*12),('Edistynyt vuokratuottolaskuri'!$C$29),0,0)</f>
        <v>209.63805404269655</v>
      </c>
      <c r="F83" s="15">
        <f>E83-(D83*('Edistynyt vuokratuottolaskuri'!$C$33/12))</f>
        <v>159.00666579027086</v>
      </c>
      <c r="G83" s="15">
        <f>IF(Lyhennystapa="Annuiteetti",(D83-F83),IF(Lyhennystapa="Tasalyhennys",(D83-'Edistynyt vuokratuottolaskuri'!$C$38),IF(Lyhennystapa="Bullet",D82,"")))</f>
        <v>30219.826285665138</v>
      </c>
      <c r="H83" s="15">
        <f t="shared" si="13"/>
        <v>4885.407919087128</v>
      </c>
      <c r="I83" s="15">
        <f>-PMT(('Edistynyt vuokratuottolaskuri'!$C$18/12),('Edistynyt vuokratuottolaskuri'!$C$19*12),('Edistynyt vuokratuottolaskuri'!$C$17),0,0)</f>
        <v>110.41614461107285</v>
      </c>
      <c r="J83" s="15">
        <f>I83-(H83*('Edistynyt vuokratuottolaskuri'!$C$18/12))</f>
        <v>102.27379807926097</v>
      </c>
      <c r="K83" s="15">
        <f t="shared" si="12"/>
        <v>4783.1341210078672</v>
      </c>
      <c r="L83" s="15">
        <f t="shared" si="11"/>
        <v>35002.960406673003</v>
      </c>
      <c r="M83" s="15">
        <f>'Edistynyt vuokratuottolaskuri'!$C$6-K83-G83</f>
        <v>36997.03959332699</v>
      </c>
      <c r="N83" s="15">
        <f>$N$80+(('Edistynyt vuokratuottolaskuri'!$I$7+$N$80)*'Edistynyt vuokratuottolaskuri'!$C$9*(1-'Edistynyt vuokratuottolaskuri'!$C$41))</f>
        <v>0</v>
      </c>
      <c r="O83" s="15">
        <f>-'Edistynyt vuokratuottolaskuri'!$C$10*('Edistynyt vuokratuottolaskuri'!$I$7+N83-('Edistynyt vuokratuottolaskuri'!$I$17-(N83*Veroaste)))/12</f>
        <v>0</v>
      </c>
      <c r="P83" s="15">
        <f>P82+'Edistynyt vuokratuottolaskuri'!$I$19+N83+O83</f>
        <v>2346.7983547164367</v>
      </c>
      <c r="Q83" s="15">
        <f>IF(P82&gt;0,(P82*('Edistynyt vuokratuottolaskuri'!$F$7/12)),0)</f>
        <v>12.545777367980952</v>
      </c>
      <c r="R83" s="15"/>
      <c r="S83" s="15"/>
      <c r="T83" s="15"/>
      <c r="U83" s="15"/>
      <c r="V83" s="15">
        <f t="shared" si="10"/>
        <v>0</v>
      </c>
      <c r="W83" s="15">
        <f>W82+'Edistynyt vuokratuottolaskuri'!$I$19+Q83+N83</f>
        <v>2817.2650060157202</v>
      </c>
    </row>
    <row r="84" spans="1:23" x14ac:dyDescent="0.2">
      <c r="B84" s="2">
        <v>76</v>
      </c>
      <c r="C84" s="15">
        <f>C72+('Edistynyt vuokratuottolaskuri'!$C$52*C72)</f>
        <v>81737.051596277</v>
      </c>
      <c r="D84" s="15">
        <f t="shared" si="9"/>
        <v>30219.826285665138</v>
      </c>
      <c r="E84" s="15">
        <f>-PMT(('Edistynyt vuokratuottolaskuri'!$C$33/12),('Edistynyt vuokratuottolaskuri'!$C$34*12),('Edistynyt vuokratuottolaskuri'!$C$29),0,0)</f>
        <v>209.63805404269655</v>
      </c>
      <c r="F84" s="15">
        <f>E84-(D84*('Edistynyt vuokratuottolaskuri'!$C$33/12))</f>
        <v>159.27167689992132</v>
      </c>
      <c r="G84" s="15">
        <f>IF(Lyhennystapa="Annuiteetti",(D84-F84),IF(Lyhennystapa="Tasalyhennys",(D84-'Edistynyt vuokratuottolaskuri'!$C$38),IF(Lyhennystapa="Bullet",D83,"")))</f>
        <v>30060.554608765218</v>
      </c>
      <c r="H84" s="15">
        <f t="shared" si="13"/>
        <v>4783.1341210078672</v>
      </c>
      <c r="I84" s="15">
        <f>-PMT(('Edistynyt vuokratuottolaskuri'!$C$18/12),('Edistynyt vuokratuottolaskuri'!$C$19*12),('Edistynyt vuokratuottolaskuri'!$C$17),0,0)</f>
        <v>110.41614461107285</v>
      </c>
      <c r="J84" s="15">
        <f>I84-(H84*('Edistynyt vuokratuottolaskuri'!$C$18/12))</f>
        <v>102.44425440939307</v>
      </c>
      <c r="K84" s="15">
        <f t="shared" si="12"/>
        <v>4680.6898665984745</v>
      </c>
      <c r="L84" s="15">
        <f t="shared" si="11"/>
        <v>34741.244475363696</v>
      </c>
      <c r="M84" s="15">
        <f>'Edistynyt vuokratuottolaskuri'!$C$6-K84-G84</f>
        <v>37258.755524636304</v>
      </c>
      <c r="N84" s="15">
        <f>$N$80+(('Edistynyt vuokratuottolaskuri'!$I$7+$N$80)*'Edistynyt vuokratuottolaskuri'!$C$9*(1-'Edistynyt vuokratuottolaskuri'!$C$41))</f>
        <v>0</v>
      </c>
      <c r="O84" s="15">
        <f>-'Edistynyt vuokratuottolaskuri'!$C$10*('Edistynyt vuokratuottolaskuri'!$I$7+N84-('Edistynyt vuokratuottolaskuri'!$I$17-(N84*Veroaste)))/12</f>
        <v>0</v>
      </c>
      <c r="P84" s="15">
        <f>P83+'Edistynyt vuokratuottolaskuri'!$I$19+N84+O84</f>
        <v>2378.0889994459894</v>
      </c>
      <c r="Q84" s="15">
        <f>IF(P83&gt;0,(P83*('Edistynyt vuokratuottolaskuri'!$F$7/12)),0)</f>
        <v>12.715314899980696</v>
      </c>
      <c r="R84" s="15"/>
      <c r="S84" s="15"/>
      <c r="T84" s="15"/>
      <c r="U84" s="15"/>
      <c r="V84" s="15">
        <f t="shared" si="10"/>
        <v>0</v>
      </c>
      <c r="W84" s="15">
        <f>W83+'Edistynyt vuokratuottolaskuri'!$I$19+Q84+N84</f>
        <v>2861.2709656452535</v>
      </c>
    </row>
    <row r="85" spans="1:23" x14ac:dyDescent="0.2">
      <c r="B85" s="2">
        <v>77</v>
      </c>
      <c r="C85" s="15">
        <f>C73+('Edistynyt vuokratuottolaskuri'!$C$52*C73)</f>
        <v>81737.051596277</v>
      </c>
      <c r="D85" s="15">
        <f t="shared" si="9"/>
        <v>30060.554608765218</v>
      </c>
      <c r="E85" s="15">
        <f>-PMT(('Edistynyt vuokratuottolaskuri'!$C$33/12),('Edistynyt vuokratuottolaskuri'!$C$34*12),('Edistynyt vuokratuottolaskuri'!$C$29),0,0)</f>
        <v>209.63805404269655</v>
      </c>
      <c r="F85" s="15">
        <f>E85-(D85*('Edistynyt vuokratuottolaskuri'!$C$33/12))</f>
        <v>159.53712969475453</v>
      </c>
      <c r="G85" s="15">
        <f>IF(Lyhennystapa="Annuiteetti",(D85-F85),IF(Lyhennystapa="Tasalyhennys",(D85-'Edistynyt vuokratuottolaskuri'!$C$38),IF(Lyhennystapa="Bullet",D84,"")))</f>
        <v>29901.017479070462</v>
      </c>
      <c r="H85" s="15">
        <f t="shared" si="13"/>
        <v>4680.6898665984745</v>
      </c>
      <c r="I85" s="15">
        <f>-PMT(('Edistynyt vuokratuottolaskuri'!$C$18/12),('Edistynyt vuokratuottolaskuri'!$C$19*12),('Edistynyt vuokratuottolaskuri'!$C$17),0,0)</f>
        <v>110.41614461107285</v>
      </c>
      <c r="J85" s="15">
        <f>I85-(H85*('Edistynyt vuokratuottolaskuri'!$C$18/12))</f>
        <v>102.61499483340873</v>
      </c>
      <c r="K85" s="15">
        <f t="shared" si="12"/>
        <v>4578.0748717650658</v>
      </c>
      <c r="L85" s="15">
        <f t="shared" si="11"/>
        <v>34479.092350835526</v>
      </c>
      <c r="M85" s="15">
        <f>'Edistynyt vuokratuottolaskuri'!$C$6-K85-G85</f>
        <v>37520.907649164466</v>
      </c>
      <c r="N85" s="15">
        <f>$N$80+(('Edistynyt vuokratuottolaskuri'!$I$7+$N$80)*'Edistynyt vuokratuottolaskuri'!$C$9*(1-'Edistynyt vuokratuottolaskuri'!$C$41))</f>
        <v>0</v>
      </c>
      <c r="O85" s="15">
        <f>-'Edistynyt vuokratuottolaskuri'!$C$10*('Edistynyt vuokratuottolaskuri'!$I$7+N85-('Edistynyt vuokratuottolaskuri'!$I$17-(N85*Veroaste)))/12</f>
        <v>0</v>
      </c>
      <c r="P85" s="15">
        <f>P84+'Edistynyt vuokratuottolaskuri'!$I$19+N85+O85</f>
        <v>2409.3796441755421</v>
      </c>
      <c r="Q85" s="15">
        <f>IF(P84&gt;0,(P84*('Edistynyt vuokratuottolaskuri'!$F$7/12)),0)</f>
        <v>12.884852431980439</v>
      </c>
      <c r="R85" s="15"/>
      <c r="S85" s="15"/>
      <c r="T85" s="15"/>
      <c r="U85" s="15"/>
      <c r="V85" s="15">
        <f t="shared" si="10"/>
        <v>0</v>
      </c>
      <c r="W85" s="15">
        <f>W84+'Edistynyt vuokratuottolaskuri'!$I$19+Q85+N85</f>
        <v>2905.4464628067867</v>
      </c>
    </row>
    <row r="86" spans="1:23" x14ac:dyDescent="0.2">
      <c r="B86" s="2">
        <v>78</v>
      </c>
      <c r="C86" s="15">
        <f>C74+('Edistynyt vuokratuottolaskuri'!$C$52*C74)</f>
        <v>81737.051596277</v>
      </c>
      <c r="D86" s="15">
        <f t="shared" si="9"/>
        <v>29901.017479070462</v>
      </c>
      <c r="E86" s="15">
        <f>-PMT(('Edistynyt vuokratuottolaskuri'!$C$33/12),('Edistynyt vuokratuottolaskuri'!$C$34*12),('Edistynyt vuokratuottolaskuri'!$C$29),0,0)</f>
        <v>209.63805404269655</v>
      </c>
      <c r="F86" s="15">
        <f>E86-(D86*('Edistynyt vuokratuottolaskuri'!$C$33/12))</f>
        <v>159.80302491091246</v>
      </c>
      <c r="G86" s="15">
        <f>IF(Lyhennystapa="Annuiteetti",(D86-F86),IF(Lyhennystapa="Tasalyhennys",(D86-'Edistynyt vuokratuottolaskuri'!$C$38),IF(Lyhennystapa="Bullet",D85,"")))</f>
        <v>29741.214454159548</v>
      </c>
      <c r="H86" s="15">
        <f t="shared" si="13"/>
        <v>4578.0748717650658</v>
      </c>
      <c r="I86" s="15">
        <f>-PMT(('Edistynyt vuokratuottolaskuri'!$C$18/12),('Edistynyt vuokratuottolaskuri'!$C$19*12),('Edistynyt vuokratuottolaskuri'!$C$17),0,0)</f>
        <v>110.41614461107285</v>
      </c>
      <c r="J86" s="15">
        <f>I86-(H86*('Edistynyt vuokratuottolaskuri'!$C$18/12))</f>
        <v>102.78601982479775</v>
      </c>
      <c r="K86" s="15">
        <f t="shared" si="12"/>
        <v>4475.2888519402677</v>
      </c>
      <c r="L86" s="15">
        <f t="shared" si="11"/>
        <v>34216.503306099818</v>
      </c>
      <c r="M86" s="15">
        <f>'Edistynyt vuokratuottolaskuri'!$C$6-K86-G86</f>
        <v>37783.49669390019</v>
      </c>
      <c r="N86" s="15">
        <f>$N$80+(('Edistynyt vuokratuottolaskuri'!$I$7+$N$80)*'Edistynyt vuokratuottolaskuri'!$C$9*(1-'Edistynyt vuokratuottolaskuri'!$C$41))</f>
        <v>0</v>
      </c>
      <c r="O86" s="15">
        <f>-'Edistynyt vuokratuottolaskuri'!$C$10*('Edistynyt vuokratuottolaskuri'!$I$7+N86-('Edistynyt vuokratuottolaskuri'!$I$17-(N86*Veroaste)))/12</f>
        <v>0</v>
      </c>
      <c r="P86" s="15">
        <f>P85+'Edistynyt vuokratuottolaskuri'!$I$19+N86+O86</f>
        <v>2440.6702889050948</v>
      </c>
      <c r="Q86" s="15">
        <f>IF(P85&gt;0,(P85*('Edistynyt vuokratuottolaskuri'!$F$7/12)),0)</f>
        <v>13.054389963980183</v>
      </c>
      <c r="R86" s="15"/>
      <c r="S86" s="15"/>
      <c r="T86" s="15"/>
      <c r="U86" s="15"/>
      <c r="V86" s="15">
        <f t="shared" si="10"/>
        <v>0</v>
      </c>
      <c r="W86" s="15">
        <f>W85+'Edistynyt vuokratuottolaskuri'!$I$19+Q86+N86</f>
        <v>2949.7914975003191</v>
      </c>
    </row>
    <row r="87" spans="1:23" x14ac:dyDescent="0.2">
      <c r="B87" s="2">
        <v>79</v>
      </c>
      <c r="C87" s="15">
        <f>C75+('Edistynyt vuokratuottolaskuri'!$C$52*C75)</f>
        <v>81737.051596277</v>
      </c>
      <c r="D87" s="15">
        <f t="shared" si="9"/>
        <v>29741.214454159548</v>
      </c>
      <c r="E87" s="15">
        <f>-PMT(('Edistynyt vuokratuottolaskuri'!$C$33/12),('Edistynyt vuokratuottolaskuri'!$C$34*12),('Edistynyt vuokratuottolaskuri'!$C$29),0,0)</f>
        <v>209.63805404269655</v>
      </c>
      <c r="F87" s="15">
        <f>E87-(D87*('Edistynyt vuokratuottolaskuri'!$C$33/12))</f>
        <v>160.06936328576398</v>
      </c>
      <c r="G87" s="15">
        <f>IF(Lyhennystapa="Annuiteetti",(D87-F87),IF(Lyhennystapa="Tasalyhennys",(D87-'Edistynyt vuokratuottolaskuri'!$C$38),IF(Lyhennystapa="Bullet",D86,"")))</f>
        <v>29581.145090873782</v>
      </c>
      <c r="H87" s="15">
        <f t="shared" si="13"/>
        <v>4475.2888519402677</v>
      </c>
      <c r="I87" s="15">
        <f>-PMT(('Edistynyt vuokratuottolaskuri'!$C$18/12),('Edistynyt vuokratuottolaskuri'!$C$19*12),('Edistynyt vuokratuottolaskuri'!$C$17),0,0)</f>
        <v>110.41614461107285</v>
      </c>
      <c r="J87" s="15">
        <f>I87-(H87*('Edistynyt vuokratuottolaskuri'!$C$18/12))</f>
        <v>102.95732985783907</v>
      </c>
      <c r="K87" s="15">
        <f t="shared" si="12"/>
        <v>4372.3315220824288</v>
      </c>
      <c r="L87" s="15">
        <f t="shared" si="11"/>
        <v>33953.476612956212</v>
      </c>
      <c r="M87" s="15">
        <f>'Edistynyt vuokratuottolaskuri'!$C$6-K87-G87</f>
        <v>38046.523387043788</v>
      </c>
      <c r="N87" s="15">
        <f>$N$80+(('Edistynyt vuokratuottolaskuri'!$I$7+$N$80)*'Edistynyt vuokratuottolaskuri'!$C$9*(1-'Edistynyt vuokratuottolaskuri'!$C$41))</f>
        <v>0</v>
      </c>
      <c r="O87" s="15">
        <f>-'Edistynyt vuokratuottolaskuri'!$C$10*('Edistynyt vuokratuottolaskuri'!$I$7+N87-('Edistynyt vuokratuottolaskuri'!$I$17-(N87*Veroaste)))/12</f>
        <v>0</v>
      </c>
      <c r="P87" s="15">
        <f>P86+'Edistynyt vuokratuottolaskuri'!$I$19+N87+O87</f>
        <v>2471.9609336346475</v>
      </c>
      <c r="Q87" s="15">
        <f>IF(P86&gt;0,(P86*('Edistynyt vuokratuottolaskuri'!$F$7/12)),0)</f>
        <v>13.223927495979927</v>
      </c>
      <c r="R87" s="15"/>
      <c r="S87" s="15"/>
      <c r="T87" s="15"/>
      <c r="U87" s="15"/>
      <c r="V87" s="15">
        <f t="shared" si="10"/>
        <v>0</v>
      </c>
      <c r="W87" s="15">
        <f>W86+'Edistynyt vuokratuottolaskuri'!$I$19+Q87+N87</f>
        <v>2994.3060697258511</v>
      </c>
    </row>
    <row r="88" spans="1:23" x14ac:dyDescent="0.2">
      <c r="B88" s="2">
        <v>80</v>
      </c>
      <c r="C88" s="15">
        <f>C76+('Edistynyt vuokratuottolaskuri'!$C$52*C76)</f>
        <v>81737.051596277</v>
      </c>
      <c r="D88" s="15">
        <f t="shared" si="9"/>
        <v>29581.145090873782</v>
      </c>
      <c r="E88" s="15">
        <f>-PMT(('Edistynyt vuokratuottolaskuri'!$C$33/12),('Edistynyt vuokratuottolaskuri'!$C$34*12),('Edistynyt vuokratuottolaskuri'!$C$29),0,0)</f>
        <v>209.63805404269655</v>
      </c>
      <c r="F88" s="15">
        <f>E88-(D88*('Edistynyt vuokratuottolaskuri'!$C$33/12))</f>
        <v>160.33614555790692</v>
      </c>
      <c r="G88" s="15">
        <f>IF(Lyhennystapa="Annuiteetti",(D88-F88),IF(Lyhennystapa="Tasalyhennys",(D88-'Edistynyt vuokratuottolaskuri'!$C$38),IF(Lyhennystapa="Bullet",D87,"")))</f>
        <v>29420.808945315875</v>
      </c>
      <c r="H88" s="15">
        <f t="shared" si="13"/>
        <v>4372.3315220824288</v>
      </c>
      <c r="I88" s="15">
        <f>-PMT(('Edistynyt vuokratuottolaskuri'!$C$18/12),('Edistynyt vuokratuottolaskuri'!$C$19*12),('Edistynyt vuokratuottolaskuri'!$C$17),0,0)</f>
        <v>110.41614461107285</v>
      </c>
      <c r="J88" s="15">
        <f>I88-(H88*('Edistynyt vuokratuottolaskuri'!$C$18/12))</f>
        <v>103.12892540760214</v>
      </c>
      <c r="K88" s="15">
        <f t="shared" si="12"/>
        <v>4269.202596674827</v>
      </c>
      <c r="L88" s="15">
        <f t="shared" si="11"/>
        <v>33690.011541990702</v>
      </c>
      <c r="M88" s="15">
        <f>'Edistynyt vuokratuottolaskuri'!$C$6-K88-G88</f>
        <v>38309.988458009291</v>
      </c>
      <c r="N88" s="15">
        <f>$N$80+(('Edistynyt vuokratuottolaskuri'!$I$7+$N$80)*'Edistynyt vuokratuottolaskuri'!$C$9*(1-'Edistynyt vuokratuottolaskuri'!$C$41))</f>
        <v>0</v>
      </c>
      <c r="O88" s="15">
        <f>-'Edistynyt vuokratuottolaskuri'!$C$10*('Edistynyt vuokratuottolaskuri'!$I$7+N88-('Edistynyt vuokratuottolaskuri'!$I$17-(N88*Veroaste)))/12</f>
        <v>0</v>
      </c>
      <c r="P88" s="15">
        <f>P87+'Edistynyt vuokratuottolaskuri'!$I$19+N88+O88</f>
        <v>2503.2515783642002</v>
      </c>
      <c r="Q88" s="15">
        <f>IF(P87&gt;0,(P87*('Edistynyt vuokratuottolaskuri'!$F$7/12)),0)</f>
        <v>13.393465027979671</v>
      </c>
      <c r="R88" s="15"/>
      <c r="S88" s="15"/>
      <c r="T88" s="15"/>
      <c r="U88" s="15"/>
      <c r="V88" s="15">
        <f t="shared" si="10"/>
        <v>0</v>
      </c>
      <c r="W88" s="15">
        <f>W87+'Edistynyt vuokratuottolaskuri'!$I$19+Q88+N88</f>
        <v>3038.9901794833831</v>
      </c>
    </row>
    <row r="89" spans="1:23" x14ac:dyDescent="0.2">
      <c r="B89" s="2">
        <v>81</v>
      </c>
      <c r="C89" s="15">
        <f>C77+('Edistynyt vuokratuottolaskuri'!$C$52*C77)</f>
        <v>81737.051596277</v>
      </c>
      <c r="D89" s="15">
        <f t="shared" si="9"/>
        <v>29420.808945315875</v>
      </c>
      <c r="E89" s="15">
        <f>-PMT(('Edistynyt vuokratuottolaskuri'!$C$33/12),('Edistynyt vuokratuottolaskuri'!$C$34*12),('Edistynyt vuokratuottolaskuri'!$C$29),0,0)</f>
        <v>209.63805404269655</v>
      </c>
      <c r="F89" s="15">
        <f>E89-(D89*('Edistynyt vuokratuottolaskuri'!$C$33/12))</f>
        <v>160.60337246717009</v>
      </c>
      <c r="G89" s="15">
        <f>IF(Lyhennystapa="Annuiteetti",(D89-F89),IF(Lyhennystapa="Tasalyhennys",(D89-'Edistynyt vuokratuottolaskuri'!$C$38),IF(Lyhennystapa="Bullet",D88,"")))</f>
        <v>29260.205572848707</v>
      </c>
      <c r="H89" s="15">
        <f t="shared" si="13"/>
        <v>4269.202596674827</v>
      </c>
      <c r="I89" s="15">
        <f>-PMT(('Edistynyt vuokratuottolaskuri'!$C$18/12),('Edistynyt vuokratuottolaskuri'!$C$19*12),('Edistynyt vuokratuottolaskuri'!$C$17),0,0)</f>
        <v>110.41614461107285</v>
      </c>
      <c r="J89" s="15">
        <f>I89-(H89*('Edistynyt vuokratuottolaskuri'!$C$18/12))</f>
        <v>103.30080694994814</v>
      </c>
      <c r="K89" s="15">
        <f t="shared" si="12"/>
        <v>4165.9017897248787</v>
      </c>
      <c r="L89" s="15">
        <f t="shared" si="11"/>
        <v>33426.107362573588</v>
      </c>
      <c r="M89" s="15">
        <f>'Edistynyt vuokratuottolaskuri'!$C$6-K89-G89</f>
        <v>38573.892637426412</v>
      </c>
      <c r="N89" s="15">
        <f>$N$80+(('Edistynyt vuokratuottolaskuri'!$I$7+$N$80)*'Edistynyt vuokratuottolaskuri'!$C$9*(1-'Edistynyt vuokratuottolaskuri'!$C$41))</f>
        <v>0</v>
      </c>
      <c r="O89" s="15">
        <f>-'Edistynyt vuokratuottolaskuri'!$C$10*('Edistynyt vuokratuottolaskuri'!$I$7+N89-('Edistynyt vuokratuottolaskuri'!$I$17-(N89*Veroaste)))/12</f>
        <v>0</v>
      </c>
      <c r="P89" s="15">
        <f>P88+'Edistynyt vuokratuottolaskuri'!$I$19+N89+O89</f>
        <v>2534.5422230937529</v>
      </c>
      <c r="Q89" s="15">
        <f>IF(P88&gt;0,(P88*('Edistynyt vuokratuottolaskuri'!$F$7/12)),0)</f>
        <v>13.563002559979415</v>
      </c>
      <c r="R89" s="15"/>
      <c r="S89" s="15"/>
      <c r="T89" s="15"/>
      <c r="U89" s="15"/>
      <c r="V89" s="15">
        <f t="shared" si="10"/>
        <v>0</v>
      </c>
      <c r="W89" s="15">
        <f>W88+'Edistynyt vuokratuottolaskuri'!$I$19+Q89+N89</f>
        <v>3083.8438267729152</v>
      </c>
    </row>
    <row r="90" spans="1:23" x14ac:dyDescent="0.2">
      <c r="B90" s="2">
        <v>82</v>
      </c>
      <c r="C90" s="15">
        <f>C78+('Edistynyt vuokratuottolaskuri'!$C$52*C78)</f>
        <v>81737.051596277</v>
      </c>
      <c r="D90" s="15">
        <f t="shared" si="9"/>
        <v>29260.205572848707</v>
      </c>
      <c r="E90" s="15">
        <f>-PMT(('Edistynyt vuokratuottolaskuri'!$C$33/12),('Edistynyt vuokratuottolaskuri'!$C$34*12),('Edistynyt vuokratuottolaskuri'!$C$29),0,0)</f>
        <v>209.63805404269655</v>
      </c>
      <c r="F90" s="15">
        <f>E90-(D90*('Edistynyt vuokratuottolaskuri'!$C$33/12))</f>
        <v>160.87104475461535</v>
      </c>
      <c r="G90" s="15">
        <f>IF(Lyhennystapa="Annuiteetti",(D90-F90),IF(Lyhennystapa="Tasalyhennys",(D90-'Edistynyt vuokratuottolaskuri'!$C$38),IF(Lyhennystapa="Bullet",D89,"")))</f>
        <v>29099.334528094092</v>
      </c>
      <c r="H90" s="15">
        <f t="shared" si="13"/>
        <v>4165.9017897248787</v>
      </c>
      <c r="I90" s="15">
        <f>-PMT(('Edistynyt vuokratuottolaskuri'!$C$18/12),('Edistynyt vuokratuottolaskuri'!$C$19*12),('Edistynyt vuokratuottolaskuri'!$C$17),0,0)</f>
        <v>110.41614461107285</v>
      </c>
      <c r="J90" s="15">
        <f>I90-(H90*('Edistynyt vuokratuottolaskuri'!$C$18/12))</f>
        <v>103.47297496153139</v>
      </c>
      <c r="K90" s="15">
        <f t="shared" si="12"/>
        <v>4062.4288147633474</v>
      </c>
      <c r="L90" s="15">
        <f t="shared" si="11"/>
        <v>33161.763342857441</v>
      </c>
      <c r="M90" s="15">
        <f>'Edistynyt vuokratuottolaskuri'!$C$6-K90-G90</f>
        <v>38838.236657142559</v>
      </c>
      <c r="N90" s="15">
        <f>$N$80+(('Edistynyt vuokratuottolaskuri'!$I$7+$N$80)*'Edistynyt vuokratuottolaskuri'!$C$9*(1-'Edistynyt vuokratuottolaskuri'!$C$41))</f>
        <v>0</v>
      </c>
      <c r="O90" s="15">
        <f>-'Edistynyt vuokratuottolaskuri'!$C$10*('Edistynyt vuokratuottolaskuri'!$I$7+N90-('Edistynyt vuokratuottolaskuri'!$I$17-(N90*Veroaste)))/12</f>
        <v>0</v>
      </c>
      <c r="P90" s="15">
        <f>P89+'Edistynyt vuokratuottolaskuri'!$I$19+N90+O90</f>
        <v>2565.8328678233056</v>
      </c>
      <c r="Q90" s="15">
        <f>IF(P89&gt;0,(P89*('Edistynyt vuokratuottolaskuri'!$F$7/12)),0)</f>
        <v>13.732540091979157</v>
      </c>
      <c r="R90" s="15"/>
      <c r="S90" s="15"/>
      <c r="T90" s="15"/>
      <c r="U90" s="15"/>
      <c r="V90" s="15">
        <f t="shared" si="10"/>
        <v>0</v>
      </c>
      <c r="W90" s="15">
        <f>W89+'Edistynyt vuokratuottolaskuri'!$I$19+Q90+N90</f>
        <v>3128.8670115944469</v>
      </c>
    </row>
    <row r="91" spans="1:23" x14ac:dyDescent="0.2">
      <c r="B91" s="2">
        <v>83</v>
      </c>
      <c r="C91" s="15">
        <f>C79+('Edistynyt vuokratuottolaskuri'!$C$52*C79)</f>
        <v>81737.051596277</v>
      </c>
      <c r="D91" s="15">
        <f t="shared" si="9"/>
        <v>29099.334528094092</v>
      </c>
      <c r="E91" s="15">
        <f>-PMT(('Edistynyt vuokratuottolaskuri'!$C$33/12),('Edistynyt vuokratuottolaskuri'!$C$34*12),('Edistynyt vuokratuottolaskuri'!$C$29),0,0)</f>
        <v>209.63805404269655</v>
      </c>
      <c r="F91" s="15">
        <f>E91-(D91*('Edistynyt vuokratuottolaskuri'!$C$33/12))</f>
        <v>161.13916316253972</v>
      </c>
      <c r="G91" s="15">
        <f>IF(Lyhennystapa="Annuiteetti",(D91-F91),IF(Lyhennystapa="Tasalyhennys",(D91-'Edistynyt vuokratuottolaskuri'!$C$38),IF(Lyhennystapa="Bullet",D90,"")))</f>
        <v>28938.195364931551</v>
      </c>
      <c r="H91" s="15">
        <f t="shared" si="13"/>
        <v>4062.4288147633474</v>
      </c>
      <c r="I91" s="15">
        <f>-PMT(('Edistynyt vuokratuottolaskuri'!$C$18/12),('Edistynyt vuokratuottolaskuri'!$C$19*12),('Edistynyt vuokratuottolaskuri'!$C$17),0,0)</f>
        <v>110.41614461107285</v>
      </c>
      <c r="J91" s="15">
        <f>I91-(H91*('Edistynyt vuokratuottolaskuri'!$C$18/12))</f>
        <v>103.64542991980061</v>
      </c>
      <c r="K91" s="15">
        <f t="shared" si="12"/>
        <v>3958.7833848435466</v>
      </c>
      <c r="L91" s="15">
        <f t="shared" si="11"/>
        <v>32896.978749775095</v>
      </c>
      <c r="M91" s="15">
        <f>'Edistynyt vuokratuottolaskuri'!$C$6-K91-G91</f>
        <v>39103.021250224905</v>
      </c>
      <c r="N91" s="15">
        <f>$N$80+(('Edistynyt vuokratuottolaskuri'!$I$7+$N$80)*'Edistynyt vuokratuottolaskuri'!$C$9*(1-'Edistynyt vuokratuottolaskuri'!$C$41))</f>
        <v>0</v>
      </c>
      <c r="O91" s="15">
        <f>-'Edistynyt vuokratuottolaskuri'!$C$10*('Edistynyt vuokratuottolaskuri'!$I$7+N91-('Edistynyt vuokratuottolaskuri'!$I$17-(N91*Veroaste)))/12</f>
        <v>0</v>
      </c>
      <c r="P91" s="15">
        <f>P90+'Edistynyt vuokratuottolaskuri'!$I$19+N91+O91</f>
        <v>2597.1235125528583</v>
      </c>
      <c r="Q91" s="15">
        <f>IF(P90&gt;0,(P90*('Edistynyt vuokratuottolaskuri'!$F$7/12)),0)</f>
        <v>13.902077623978901</v>
      </c>
      <c r="R91" s="15"/>
      <c r="S91" s="15"/>
      <c r="T91" s="15"/>
      <c r="U91" s="15"/>
      <c r="V91" s="15">
        <f t="shared" si="10"/>
        <v>0</v>
      </c>
      <c r="W91" s="15">
        <f>W90+'Edistynyt vuokratuottolaskuri'!$I$19+Q91+N91</f>
        <v>3174.0597339479787</v>
      </c>
    </row>
    <row r="92" spans="1:23" x14ac:dyDescent="0.2">
      <c r="B92" s="2">
        <v>84</v>
      </c>
      <c r="C92" s="15">
        <f>C80+('Edistynyt vuokratuottolaskuri'!$C$52*C80)</f>
        <v>81737.051596277</v>
      </c>
      <c r="D92" s="15">
        <f t="shared" si="9"/>
        <v>28938.195364931551</v>
      </c>
      <c r="E92" s="15">
        <f>-PMT(('Edistynyt vuokratuottolaskuri'!$C$33/12),('Edistynyt vuokratuottolaskuri'!$C$34*12),('Edistynyt vuokratuottolaskuri'!$C$29),0,0)</f>
        <v>209.63805404269655</v>
      </c>
      <c r="F92" s="15">
        <f>E92-(D92*('Edistynyt vuokratuottolaskuri'!$C$33/12))</f>
        <v>161.40772843447729</v>
      </c>
      <c r="G92" s="15">
        <f>IF(Lyhennystapa="Annuiteetti",(D92-F92),IF(Lyhennystapa="Tasalyhennys",(D92-'Edistynyt vuokratuottolaskuri'!$C$38),IF(Lyhennystapa="Bullet",D91,"")))</f>
        <v>28776.787636497073</v>
      </c>
      <c r="H92" s="15">
        <f t="shared" si="13"/>
        <v>3958.7833848435466</v>
      </c>
      <c r="I92" s="15">
        <f>-PMT(('Edistynyt vuokratuottolaskuri'!$C$18/12),('Edistynyt vuokratuottolaskuri'!$C$19*12),('Edistynyt vuokratuottolaskuri'!$C$17),0,0)</f>
        <v>110.41614461107285</v>
      </c>
      <c r="J92" s="15">
        <f>I92-(H92*('Edistynyt vuokratuottolaskuri'!$C$18/12))</f>
        <v>103.81817230300027</v>
      </c>
      <c r="K92" s="15">
        <f t="shared" si="12"/>
        <v>3854.9652125405464</v>
      </c>
      <c r="L92" s="15">
        <f t="shared" si="11"/>
        <v>32631.752849037621</v>
      </c>
      <c r="M92" s="15">
        <f>'Edistynyt vuokratuottolaskuri'!$C$6-K92-G92</f>
        <v>39368.247150962387</v>
      </c>
      <c r="N92" s="15">
        <f>$N$80+(('Edistynyt vuokratuottolaskuri'!$I$7+$N$80)*'Edistynyt vuokratuottolaskuri'!$C$9*(1-'Edistynyt vuokratuottolaskuri'!$C$41))</f>
        <v>0</v>
      </c>
      <c r="O92" s="15">
        <f>-'Edistynyt vuokratuottolaskuri'!$C$10*('Edistynyt vuokratuottolaskuri'!$I$7+N92-('Edistynyt vuokratuottolaskuri'!$I$17-(N92*Veroaste)))/12</f>
        <v>0</v>
      </c>
      <c r="P92" s="15">
        <f>P91+'Edistynyt vuokratuottolaskuri'!$I$19+N92+O92</f>
        <v>2628.414157282411</v>
      </c>
      <c r="Q92" s="15">
        <f>IF(P91&gt;0,(P91*('Edistynyt vuokratuottolaskuri'!$F$7/12)),0)</f>
        <v>14.071615155978645</v>
      </c>
      <c r="R92" s="15"/>
      <c r="S92" s="15"/>
      <c r="T92" s="15"/>
      <c r="U92" s="15"/>
      <c r="V92" s="15">
        <f t="shared" si="10"/>
        <v>0</v>
      </c>
      <c r="W92" s="15">
        <f>W91+'Edistynyt vuokratuottolaskuri'!$I$19+Q92+N92</f>
        <v>3219.4219938335095</v>
      </c>
    </row>
    <row r="93" spans="1:23" x14ac:dyDescent="0.2">
      <c r="A93" s="2" t="s">
        <v>42</v>
      </c>
      <c r="B93" s="2">
        <v>85</v>
      </c>
      <c r="C93" s="15">
        <f>C81+('Edistynyt vuokratuottolaskuri'!$C$52*C81)</f>
        <v>82554.422112239772</v>
      </c>
      <c r="D93" s="15">
        <f t="shared" si="9"/>
        <v>28776.787636497073</v>
      </c>
      <c r="E93" s="15">
        <f>-PMT(('Edistynyt vuokratuottolaskuri'!$C$33/12),('Edistynyt vuokratuottolaskuri'!$C$34*12),('Edistynyt vuokratuottolaskuri'!$C$29),0,0)</f>
        <v>209.63805404269655</v>
      </c>
      <c r="F93" s="15">
        <f>E93-(D93*('Edistynyt vuokratuottolaskuri'!$C$33/12))</f>
        <v>161.67674131520141</v>
      </c>
      <c r="G93" s="15">
        <f>IF(Lyhennystapa="Annuiteetti",(D93-F93),IF(Lyhennystapa="Tasalyhennys",(D93-'Edistynyt vuokratuottolaskuri'!$C$38),IF(Lyhennystapa="Bullet",D92,"")))</f>
        <v>28615.110895181871</v>
      </c>
      <c r="H93" s="15">
        <f t="shared" si="13"/>
        <v>3854.9652125405464</v>
      </c>
      <c r="I93" s="15">
        <f>-PMT(('Edistynyt vuokratuottolaskuri'!$C$18/12),('Edistynyt vuokratuottolaskuri'!$C$19*12),('Edistynyt vuokratuottolaskuri'!$C$17),0,0)</f>
        <v>110.41614461107285</v>
      </c>
      <c r="J93" s="15">
        <f>I93-(H93*('Edistynyt vuokratuottolaskuri'!$C$18/12))</f>
        <v>103.99120259017194</v>
      </c>
      <c r="K93" s="15">
        <f t="shared" si="12"/>
        <v>3750.9740099503747</v>
      </c>
      <c r="L93" s="15">
        <f t="shared" si="11"/>
        <v>32366.084905132248</v>
      </c>
      <c r="M93" s="15">
        <f>'Edistynyt vuokratuottolaskuri'!$C$6-K93-G93</f>
        <v>39633.915094867756</v>
      </c>
      <c r="N93" s="15">
        <f>$N$92+(('Edistynyt vuokratuottolaskuri'!$I$7+$N$92)*'Edistynyt vuokratuottolaskuri'!$C$9*(1-'Edistynyt vuokratuottolaskuri'!$C$41))</f>
        <v>0</v>
      </c>
      <c r="O93" s="15">
        <f>-'Edistynyt vuokratuottolaskuri'!$C$10*('Edistynyt vuokratuottolaskuri'!$I$7+N93-('Edistynyt vuokratuottolaskuri'!$I$17-(N93*Veroaste)))/12</f>
        <v>0</v>
      </c>
      <c r="P93" s="15">
        <f>P92+'Edistynyt vuokratuottolaskuri'!$I$19+N93+O93</f>
        <v>2659.7048020119637</v>
      </c>
      <c r="Q93" s="15">
        <f>IF(P92&gt;0,(P92*('Edistynyt vuokratuottolaskuri'!$F$7/12)),0)</f>
        <v>14.241152687978389</v>
      </c>
      <c r="R93" s="15">
        <f>P92</f>
        <v>2628.414157282411</v>
      </c>
      <c r="S93" s="15">
        <f>(IF(C93&gt;=$C$9,C93,$C$9))-L92-'Edistynyt vuokratuottolaskuri'!$C$28</f>
        <v>29922.669263202151</v>
      </c>
      <c r="T93" s="15">
        <f>R93+S93</f>
        <v>32551.083420484563</v>
      </c>
      <c r="U93" s="15">
        <f>(R81+(S81*'Edistynyt vuokratuottolaskuri'!$C$42)+U81)*0.1+U81</f>
        <v>9244.6456122020772</v>
      </c>
      <c r="V93" s="15">
        <f>T93+U93</f>
        <v>41795.729032686642</v>
      </c>
      <c r="W93" s="15">
        <f>W92+'Edistynyt vuokratuottolaskuri'!$I$19+Q93+N93</f>
        <v>3264.95379125104</v>
      </c>
    </row>
    <row r="94" spans="1:23" x14ac:dyDescent="0.2">
      <c r="B94" s="2">
        <v>86</v>
      </c>
      <c r="C94" s="15">
        <f>C82+('Edistynyt vuokratuottolaskuri'!$C$52*C82)</f>
        <v>82554.422112239772</v>
      </c>
      <c r="D94" s="15">
        <f t="shared" si="9"/>
        <v>28615.110895181871</v>
      </c>
      <c r="E94" s="15">
        <f>-PMT(('Edistynyt vuokratuottolaskuri'!$C$33/12),('Edistynyt vuokratuottolaskuri'!$C$34*12),('Edistynyt vuokratuottolaskuri'!$C$29),0,0)</f>
        <v>209.63805404269655</v>
      </c>
      <c r="F94" s="15">
        <f>E94-(D94*('Edistynyt vuokratuottolaskuri'!$C$33/12))</f>
        <v>161.94620255072675</v>
      </c>
      <c r="G94" s="15">
        <f>IF(Lyhennystapa="Annuiteetti",(D94-F94),IF(Lyhennystapa="Tasalyhennys",(D94-'Edistynyt vuokratuottolaskuri'!$C$38),IF(Lyhennystapa="Bullet",D93,"")))</f>
        <v>28453.164692631144</v>
      </c>
      <c r="H94" s="15">
        <f t="shared" si="13"/>
        <v>3750.9740099503747</v>
      </c>
      <c r="I94" s="15">
        <f>-PMT(('Edistynyt vuokratuottolaskuri'!$C$18/12),('Edistynyt vuokratuottolaskuri'!$C$19*12),('Edistynyt vuokratuottolaskuri'!$C$17),0,0)</f>
        <v>110.41614461107285</v>
      </c>
      <c r="J94" s="15">
        <f>I94-(H94*('Edistynyt vuokratuottolaskuri'!$C$18/12))</f>
        <v>104.16452126115556</v>
      </c>
      <c r="K94" s="15">
        <f t="shared" si="12"/>
        <v>3646.8094886892191</v>
      </c>
      <c r="L94" s="15">
        <f t="shared" si="11"/>
        <v>32099.974181320362</v>
      </c>
      <c r="M94" s="15">
        <f>'Edistynyt vuokratuottolaskuri'!$C$6-K94-G94</f>
        <v>39900.025818679635</v>
      </c>
      <c r="N94" s="15">
        <f>$N$92+(('Edistynyt vuokratuottolaskuri'!$I$7+$N$92)*'Edistynyt vuokratuottolaskuri'!$C$9*(1-'Edistynyt vuokratuottolaskuri'!$C$41))</f>
        <v>0</v>
      </c>
      <c r="O94" s="15">
        <f>-'Edistynyt vuokratuottolaskuri'!$C$10*('Edistynyt vuokratuottolaskuri'!$I$7+N94-('Edistynyt vuokratuottolaskuri'!$I$17-(N94*Veroaste)))/12</f>
        <v>0</v>
      </c>
      <c r="P94" s="15">
        <f>P93+'Edistynyt vuokratuottolaskuri'!$I$19+N94+O94</f>
        <v>2690.9954467415164</v>
      </c>
      <c r="Q94" s="15">
        <f>IF(P93&gt;0,(P93*('Edistynyt vuokratuottolaskuri'!$F$7/12)),0)</f>
        <v>14.410690219978132</v>
      </c>
      <c r="R94" s="15"/>
      <c r="S94" s="15"/>
      <c r="T94" s="15"/>
      <c r="U94" s="15"/>
      <c r="V94" s="15">
        <f t="shared" si="10"/>
        <v>0</v>
      </c>
      <c r="W94" s="15">
        <f>W93+'Edistynyt vuokratuottolaskuri'!$I$19+Q94+N94</f>
        <v>3310.6551262005705</v>
      </c>
    </row>
    <row r="95" spans="1:23" x14ac:dyDescent="0.2">
      <c r="B95" s="2">
        <v>87</v>
      </c>
      <c r="C95" s="15">
        <f>C83+('Edistynyt vuokratuottolaskuri'!$C$52*C83)</f>
        <v>82554.422112239772</v>
      </c>
      <c r="D95" s="15">
        <f t="shared" si="9"/>
        <v>28453.164692631144</v>
      </c>
      <c r="E95" s="15">
        <f>-PMT(('Edistynyt vuokratuottolaskuri'!$C$33/12),('Edistynyt vuokratuottolaskuri'!$C$34*12),('Edistynyt vuokratuottolaskuri'!$C$29),0,0)</f>
        <v>209.63805404269655</v>
      </c>
      <c r="F95" s="15">
        <f>E95-(D95*('Edistynyt vuokratuottolaskuri'!$C$33/12))</f>
        <v>162.2161128883113</v>
      </c>
      <c r="G95" s="15">
        <f>IF(Lyhennystapa="Annuiteetti",(D95-F95),IF(Lyhennystapa="Tasalyhennys",(D95-'Edistynyt vuokratuottolaskuri'!$C$38),IF(Lyhennystapa="Bullet",D94,"")))</f>
        <v>28290.948579742831</v>
      </c>
      <c r="H95" s="15">
        <f t="shared" si="13"/>
        <v>3646.8094886892191</v>
      </c>
      <c r="I95" s="15">
        <f>-PMT(('Edistynyt vuokratuottolaskuri'!$C$18/12),('Edistynyt vuokratuottolaskuri'!$C$19*12),('Edistynyt vuokratuottolaskuri'!$C$17),0,0)</f>
        <v>110.41614461107285</v>
      </c>
      <c r="J95" s="15">
        <f>I95-(H95*('Edistynyt vuokratuottolaskuri'!$C$18/12))</f>
        <v>104.33812879659082</v>
      </c>
      <c r="K95" s="15">
        <f t="shared" si="12"/>
        <v>3542.4713598926282</v>
      </c>
      <c r="L95" s="15">
        <f t="shared" si="11"/>
        <v>31833.41993963546</v>
      </c>
      <c r="M95" s="15">
        <f>'Edistynyt vuokratuottolaskuri'!$C$6-K95-G95</f>
        <v>40166.580060364533</v>
      </c>
      <c r="N95" s="15">
        <f>$N$92+(('Edistynyt vuokratuottolaskuri'!$I$7+$N$92)*'Edistynyt vuokratuottolaskuri'!$C$9*(1-'Edistynyt vuokratuottolaskuri'!$C$41))</f>
        <v>0</v>
      </c>
      <c r="O95" s="15">
        <f>-'Edistynyt vuokratuottolaskuri'!$C$10*('Edistynyt vuokratuottolaskuri'!$I$7+N95-('Edistynyt vuokratuottolaskuri'!$I$17-(N95*Veroaste)))/12</f>
        <v>0</v>
      </c>
      <c r="P95" s="15">
        <f>P94+'Edistynyt vuokratuottolaskuri'!$I$19+N95+O95</f>
        <v>2722.2860914710691</v>
      </c>
      <c r="Q95" s="15">
        <f>IF(P94&gt;0,(P94*('Edistynyt vuokratuottolaskuri'!$F$7/12)),0)</f>
        <v>14.580227751977876</v>
      </c>
      <c r="R95" s="15"/>
      <c r="S95" s="15"/>
      <c r="T95" s="15"/>
      <c r="U95" s="15"/>
      <c r="V95" s="15">
        <f t="shared" si="10"/>
        <v>0</v>
      </c>
      <c r="W95" s="15">
        <f>W94+'Edistynyt vuokratuottolaskuri'!$I$19+Q95+N95</f>
        <v>3356.5259986821011</v>
      </c>
    </row>
    <row r="96" spans="1:23" x14ac:dyDescent="0.2">
      <c r="B96" s="2">
        <v>88</v>
      </c>
      <c r="C96" s="15">
        <f>C84+('Edistynyt vuokratuottolaskuri'!$C$52*C84)</f>
        <v>82554.422112239772</v>
      </c>
      <c r="D96" s="15">
        <f t="shared" si="9"/>
        <v>28290.948579742831</v>
      </c>
      <c r="E96" s="15">
        <f>-PMT(('Edistynyt vuokratuottolaskuri'!$C$33/12),('Edistynyt vuokratuottolaskuri'!$C$34*12),('Edistynyt vuokratuottolaskuri'!$C$29),0,0)</f>
        <v>209.63805404269655</v>
      </c>
      <c r="F96" s="15">
        <f>E96-(D96*('Edistynyt vuokratuottolaskuri'!$C$33/12))</f>
        <v>162.48647307645848</v>
      </c>
      <c r="G96" s="15">
        <f>IF(Lyhennystapa="Annuiteetti",(D96-F96),IF(Lyhennystapa="Tasalyhennys",(D96-'Edistynyt vuokratuottolaskuri'!$C$38),IF(Lyhennystapa="Bullet",D95,"")))</f>
        <v>28128.462106666371</v>
      </c>
      <c r="H96" s="15">
        <f t="shared" si="13"/>
        <v>3542.4713598926282</v>
      </c>
      <c r="I96" s="15">
        <f>-PMT(('Edistynyt vuokratuottolaskuri'!$C$18/12),('Edistynyt vuokratuottolaskuri'!$C$19*12),('Edistynyt vuokratuottolaskuri'!$C$17),0,0)</f>
        <v>110.41614461107285</v>
      </c>
      <c r="J96" s="15">
        <f>I96-(H96*('Edistynyt vuokratuottolaskuri'!$C$18/12))</f>
        <v>104.51202567791847</v>
      </c>
      <c r="K96" s="15">
        <f t="shared" si="12"/>
        <v>3437.95933421471</v>
      </c>
      <c r="L96" s="15">
        <f t="shared" si="11"/>
        <v>31566.42144088108</v>
      </c>
      <c r="M96" s="15">
        <f>'Edistynyt vuokratuottolaskuri'!$C$6-K96-G96</f>
        <v>40433.57855911892</v>
      </c>
      <c r="N96" s="15">
        <f>$N$92+(('Edistynyt vuokratuottolaskuri'!$I$7+$N$92)*'Edistynyt vuokratuottolaskuri'!$C$9*(1-'Edistynyt vuokratuottolaskuri'!$C$41))</f>
        <v>0</v>
      </c>
      <c r="O96" s="15">
        <f>-'Edistynyt vuokratuottolaskuri'!$C$10*('Edistynyt vuokratuottolaskuri'!$I$7+N96-('Edistynyt vuokratuottolaskuri'!$I$17-(N96*Veroaste)))/12</f>
        <v>0</v>
      </c>
      <c r="P96" s="15">
        <f>P95+'Edistynyt vuokratuottolaskuri'!$I$19+N96+O96</f>
        <v>2753.5767362006218</v>
      </c>
      <c r="Q96" s="15">
        <f>IF(P95&gt;0,(P95*('Edistynyt vuokratuottolaskuri'!$F$7/12)),0)</f>
        <v>14.74976528397762</v>
      </c>
      <c r="R96" s="15"/>
      <c r="S96" s="15"/>
      <c r="T96" s="15"/>
      <c r="U96" s="15"/>
      <c r="V96" s="15">
        <f t="shared" si="10"/>
        <v>0</v>
      </c>
      <c r="W96" s="15">
        <f>W95+'Edistynyt vuokratuottolaskuri'!$I$19+Q96+N96</f>
        <v>3402.5664086956313</v>
      </c>
    </row>
    <row r="97" spans="1:23" x14ac:dyDescent="0.2">
      <c r="B97" s="2">
        <v>89</v>
      </c>
      <c r="C97" s="15">
        <f>C85+('Edistynyt vuokratuottolaskuri'!$C$52*C85)</f>
        <v>82554.422112239772</v>
      </c>
      <c r="D97" s="15">
        <f t="shared" si="9"/>
        <v>28128.462106666371</v>
      </c>
      <c r="E97" s="15">
        <f>-PMT(('Edistynyt vuokratuottolaskuri'!$C$33/12),('Edistynyt vuokratuottolaskuri'!$C$34*12),('Edistynyt vuokratuottolaskuri'!$C$29),0,0)</f>
        <v>209.63805404269655</v>
      </c>
      <c r="F97" s="15">
        <f>E97-(D97*('Edistynyt vuokratuottolaskuri'!$C$33/12))</f>
        <v>162.75728386491926</v>
      </c>
      <c r="G97" s="15">
        <f>IF(Lyhennystapa="Annuiteetti",(D97-F97),IF(Lyhennystapa="Tasalyhennys",(D97-'Edistynyt vuokratuottolaskuri'!$C$38),IF(Lyhennystapa="Bullet",D96,"")))</f>
        <v>27965.704822801454</v>
      </c>
      <c r="H97" s="15">
        <f t="shared" si="13"/>
        <v>3437.95933421471</v>
      </c>
      <c r="I97" s="15">
        <f>-PMT(('Edistynyt vuokratuottolaskuri'!$C$18/12),('Edistynyt vuokratuottolaskuri'!$C$19*12),('Edistynyt vuokratuottolaskuri'!$C$17),0,0)</f>
        <v>110.41614461107285</v>
      </c>
      <c r="J97" s="15">
        <f>I97-(H97*('Edistynyt vuokratuottolaskuri'!$C$18/12))</f>
        <v>104.68621238738167</v>
      </c>
      <c r="K97" s="15">
        <f t="shared" si="12"/>
        <v>3333.2731218273284</v>
      </c>
      <c r="L97" s="15">
        <f t="shared" si="11"/>
        <v>31298.977944628783</v>
      </c>
      <c r="M97" s="15">
        <f>'Edistynyt vuokratuottolaskuri'!$C$6-K97-G97</f>
        <v>40701.022055371221</v>
      </c>
      <c r="N97" s="15">
        <f>$N$92+(('Edistynyt vuokratuottolaskuri'!$I$7+$N$92)*'Edistynyt vuokratuottolaskuri'!$C$9*(1-'Edistynyt vuokratuottolaskuri'!$C$41))</f>
        <v>0</v>
      </c>
      <c r="O97" s="15">
        <f>-'Edistynyt vuokratuottolaskuri'!$C$10*('Edistynyt vuokratuottolaskuri'!$I$7+N97-('Edistynyt vuokratuottolaskuri'!$I$17-(N97*Veroaste)))/12</f>
        <v>0</v>
      </c>
      <c r="P97" s="15">
        <f>P96+'Edistynyt vuokratuottolaskuri'!$I$19+N97+O97</f>
        <v>2784.8673809301745</v>
      </c>
      <c r="Q97" s="15">
        <f>IF(P96&gt;0,(P96*('Edistynyt vuokratuottolaskuri'!$F$7/12)),0)</f>
        <v>14.919302815977364</v>
      </c>
      <c r="R97" s="15"/>
      <c r="S97" s="15"/>
      <c r="T97" s="15"/>
      <c r="U97" s="15"/>
      <c r="V97" s="15">
        <f t="shared" si="10"/>
        <v>0</v>
      </c>
      <c r="W97" s="15">
        <f>W96+'Edistynyt vuokratuottolaskuri'!$I$19+Q97+N97</f>
        <v>3448.7763562411615</v>
      </c>
    </row>
    <row r="98" spans="1:23" x14ac:dyDescent="0.2">
      <c r="B98" s="2">
        <v>90</v>
      </c>
      <c r="C98" s="15">
        <f>C86+('Edistynyt vuokratuottolaskuri'!$C$52*C86)</f>
        <v>82554.422112239772</v>
      </c>
      <c r="D98" s="15">
        <f t="shared" si="9"/>
        <v>27965.704822801454</v>
      </c>
      <c r="E98" s="15">
        <f>-PMT(('Edistynyt vuokratuottolaskuri'!$C$33/12),('Edistynyt vuokratuottolaskuri'!$C$34*12),('Edistynyt vuokratuottolaskuri'!$C$29),0,0)</f>
        <v>209.63805404269655</v>
      </c>
      <c r="F98" s="15">
        <f>E98-(D98*('Edistynyt vuokratuottolaskuri'!$C$33/12))</f>
        <v>163.02854600469414</v>
      </c>
      <c r="G98" s="15">
        <f>IF(Lyhennystapa="Annuiteetti",(D98-F98),IF(Lyhennystapa="Tasalyhennys",(D98-'Edistynyt vuokratuottolaskuri'!$C$38),IF(Lyhennystapa="Bullet",D97,"")))</f>
        <v>27802.676276796759</v>
      </c>
      <c r="H98" s="15">
        <f t="shared" si="13"/>
        <v>3333.2731218273284</v>
      </c>
      <c r="I98" s="15">
        <f>-PMT(('Edistynyt vuokratuottolaskuri'!$C$18/12),('Edistynyt vuokratuottolaskuri'!$C$19*12),('Edistynyt vuokratuottolaskuri'!$C$17),0,0)</f>
        <v>110.41614461107285</v>
      </c>
      <c r="J98" s="15">
        <f>I98-(H98*('Edistynyt vuokratuottolaskuri'!$C$18/12))</f>
        <v>104.8606894080273</v>
      </c>
      <c r="K98" s="15">
        <f t="shared" si="12"/>
        <v>3228.4124324193012</v>
      </c>
      <c r="L98" s="15">
        <f t="shared" si="11"/>
        <v>31031.088709216059</v>
      </c>
      <c r="M98" s="15">
        <f>'Edistynyt vuokratuottolaskuri'!$C$6-K98-G98</f>
        <v>40968.911290783944</v>
      </c>
      <c r="N98" s="15">
        <f>$N$92+(('Edistynyt vuokratuottolaskuri'!$I$7+$N$92)*'Edistynyt vuokratuottolaskuri'!$C$9*(1-'Edistynyt vuokratuottolaskuri'!$C$41))</f>
        <v>0</v>
      </c>
      <c r="O98" s="15">
        <f>-'Edistynyt vuokratuottolaskuri'!$C$10*('Edistynyt vuokratuottolaskuri'!$I$7+N98-('Edistynyt vuokratuottolaskuri'!$I$17-(N98*Veroaste)))/12</f>
        <v>0</v>
      </c>
      <c r="P98" s="15">
        <f>P97+'Edistynyt vuokratuottolaskuri'!$I$19+N98+O98</f>
        <v>2816.1580256597272</v>
      </c>
      <c r="Q98" s="15">
        <f>IF(P97&gt;0,(P97*('Edistynyt vuokratuottolaskuri'!$F$7/12)),0)</f>
        <v>15.088840347977108</v>
      </c>
      <c r="R98" s="15"/>
      <c r="S98" s="15"/>
      <c r="T98" s="15"/>
      <c r="U98" s="15"/>
      <c r="V98" s="15">
        <f t="shared" ref="V98:V161" si="14">T98+U98</f>
        <v>0</v>
      </c>
      <c r="W98" s="15">
        <f>W97+'Edistynyt vuokratuottolaskuri'!$I$19+Q98+N98</f>
        <v>3495.1558413186908</v>
      </c>
    </row>
    <row r="99" spans="1:23" x14ac:dyDescent="0.2">
      <c r="B99" s="2">
        <v>91</v>
      </c>
      <c r="C99" s="15">
        <f>C87+('Edistynyt vuokratuottolaskuri'!$C$52*C87)</f>
        <v>82554.422112239772</v>
      </c>
      <c r="D99" s="15">
        <f t="shared" si="9"/>
        <v>27802.676276796759</v>
      </c>
      <c r="E99" s="15">
        <f>-PMT(('Edistynyt vuokratuottolaskuri'!$C$33/12),('Edistynyt vuokratuottolaskuri'!$C$34*12),('Edistynyt vuokratuottolaskuri'!$C$29),0,0)</f>
        <v>209.63805404269655</v>
      </c>
      <c r="F99" s="15">
        <f>E99-(D99*('Edistynyt vuokratuottolaskuri'!$C$33/12))</f>
        <v>163.30026024803527</v>
      </c>
      <c r="G99" s="15">
        <f>IF(Lyhennystapa="Annuiteetti",(D99-F99),IF(Lyhennystapa="Tasalyhennys",(D99-'Edistynyt vuokratuottolaskuri'!$C$38),IF(Lyhennystapa="Bullet",D98,"")))</f>
        <v>27639.376016548726</v>
      </c>
      <c r="H99" s="15">
        <f t="shared" si="13"/>
        <v>3228.4124324193012</v>
      </c>
      <c r="I99" s="15">
        <f>-PMT(('Edistynyt vuokratuottolaskuri'!$C$18/12),('Edistynyt vuokratuottolaskuri'!$C$19*12),('Edistynyt vuokratuottolaskuri'!$C$17),0,0)</f>
        <v>110.41614461107285</v>
      </c>
      <c r="J99" s="15">
        <f>I99-(H99*('Edistynyt vuokratuottolaskuri'!$C$18/12))</f>
        <v>105.03545722370735</v>
      </c>
      <c r="K99" s="15">
        <f t="shared" si="12"/>
        <v>3123.3769751955938</v>
      </c>
      <c r="L99" s="15">
        <f t="shared" si="11"/>
        <v>30762.752991744321</v>
      </c>
      <c r="M99" s="15">
        <f>'Edistynyt vuokratuottolaskuri'!$C$6-K99-G99</f>
        <v>41237.247008255676</v>
      </c>
      <c r="N99" s="15">
        <f>$N$92+(('Edistynyt vuokratuottolaskuri'!$I$7+$N$92)*'Edistynyt vuokratuottolaskuri'!$C$9*(1-'Edistynyt vuokratuottolaskuri'!$C$41))</f>
        <v>0</v>
      </c>
      <c r="O99" s="15">
        <f>-'Edistynyt vuokratuottolaskuri'!$C$10*('Edistynyt vuokratuottolaskuri'!$I$7+N99-('Edistynyt vuokratuottolaskuri'!$I$17-(N99*Veroaste)))/12</f>
        <v>0</v>
      </c>
      <c r="P99" s="15">
        <f>P98+'Edistynyt vuokratuottolaskuri'!$I$19+N99+O99</f>
        <v>2847.4486703892799</v>
      </c>
      <c r="Q99" s="15">
        <f>IF(P98&gt;0,(P98*('Edistynyt vuokratuottolaskuri'!$F$7/12)),0)</f>
        <v>15.258377879976852</v>
      </c>
      <c r="R99" s="15"/>
      <c r="S99" s="15"/>
      <c r="T99" s="15"/>
      <c r="U99" s="15"/>
      <c r="V99" s="15">
        <f t="shared" si="14"/>
        <v>0</v>
      </c>
      <c r="W99" s="15">
        <f>W98+'Edistynyt vuokratuottolaskuri'!$I$19+Q99+N99</f>
        <v>3541.7048639282198</v>
      </c>
    </row>
    <row r="100" spans="1:23" x14ac:dyDescent="0.2">
      <c r="B100" s="2">
        <v>92</v>
      </c>
      <c r="C100" s="15">
        <f>C88+('Edistynyt vuokratuottolaskuri'!$C$52*C88)</f>
        <v>82554.422112239772</v>
      </c>
      <c r="D100" s="15">
        <f t="shared" si="9"/>
        <v>27639.376016548726</v>
      </c>
      <c r="E100" s="15">
        <f>-PMT(('Edistynyt vuokratuottolaskuri'!$C$33/12),('Edistynyt vuokratuottolaskuri'!$C$34*12),('Edistynyt vuokratuottolaskuri'!$C$29),0,0)</f>
        <v>209.63805404269655</v>
      </c>
      <c r="F100" s="15">
        <f>E100-(D100*('Edistynyt vuokratuottolaskuri'!$C$33/12))</f>
        <v>163.57242734844868</v>
      </c>
      <c r="G100" s="15">
        <f>IF(Lyhennystapa="Annuiteetti",(D100-F100),IF(Lyhennystapa="Tasalyhennys",(D100-'Edistynyt vuokratuottolaskuri'!$C$38),IF(Lyhennystapa="Bullet",D99,"")))</f>
        <v>27475.803589200277</v>
      </c>
      <c r="H100" s="15">
        <f t="shared" si="13"/>
        <v>3123.3769751955938</v>
      </c>
      <c r="I100" s="15">
        <f>-PMT(('Edistynyt vuokratuottolaskuri'!$C$18/12),('Edistynyt vuokratuottolaskuri'!$C$19*12),('Edistynyt vuokratuottolaskuri'!$C$17),0,0)</f>
        <v>110.41614461107285</v>
      </c>
      <c r="J100" s="15">
        <f>I100-(H100*('Edistynyt vuokratuottolaskuri'!$C$18/12))</f>
        <v>105.2105163190802</v>
      </c>
      <c r="K100" s="15">
        <f t="shared" si="12"/>
        <v>3018.1664588765134</v>
      </c>
      <c r="L100" s="15">
        <f t="shared" si="11"/>
        <v>30493.97004807679</v>
      </c>
      <c r="M100" s="15">
        <f>'Edistynyt vuokratuottolaskuri'!$C$6-K100-G100</f>
        <v>41506.029951923207</v>
      </c>
      <c r="N100" s="15">
        <f>$N$92+(('Edistynyt vuokratuottolaskuri'!$I$7+$N$92)*'Edistynyt vuokratuottolaskuri'!$C$9*(1-'Edistynyt vuokratuottolaskuri'!$C$41))</f>
        <v>0</v>
      </c>
      <c r="O100" s="15">
        <f>-'Edistynyt vuokratuottolaskuri'!$C$10*('Edistynyt vuokratuottolaskuri'!$I$7+N100-('Edistynyt vuokratuottolaskuri'!$I$17-(N100*Veroaste)))/12</f>
        <v>0</v>
      </c>
      <c r="P100" s="15">
        <f>P99+'Edistynyt vuokratuottolaskuri'!$I$19+N100+O100</f>
        <v>2878.7393151188326</v>
      </c>
      <c r="Q100" s="15">
        <f>IF(P99&gt;0,(P99*('Edistynyt vuokratuottolaskuri'!$F$7/12)),0)</f>
        <v>15.427915411976596</v>
      </c>
      <c r="R100" s="15"/>
      <c r="S100" s="15"/>
      <c r="T100" s="15"/>
      <c r="U100" s="15"/>
      <c r="V100" s="15">
        <f t="shared" si="14"/>
        <v>0</v>
      </c>
      <c r="W100" s="15">
        <f>W99+'Edistynyt vuokratuottolaskuri'!$I$19+Q100+N100</f>
        <v>3588.4234240697488</v>
      </c>
    </row>
    <row r="101" spans="1:23" x14ac:dyDescent="0.2">
      <c r="B101" s="2">
        <v>93</v>
      </c>
      <c r="C101" s="15">
        <f>C89+('Edistynyt vuokratuottolaskuri'!$C$52*C89)</f>
        <v>82554.422112239772</v>
      </c>
      <c r="D101" s="15">
        <f t="shared" si="9"/>
        <v>27475.803589200277</v>
      </c>
      <c r="E101" s="15">
        <f>-PMT(('Edistynyt vuokratuottolaskuri'!$C$33/12),('Edistynyt vuokratuottolaskuri'!$C$34*12),('Edistynyt vuokratuottolaskuri'!$C$29),0,0)</f>
        <v>209.63805404269655</v>
      </c>
      <c r="F101" s="15">
        <f>E101-(D101*('Edistynyt vuokratuottolaskuri'!$C$33/12))</f>
        <v>163.84504806069609</v>
      </c>
      <c r="G101" s="15">
        <f>IF(Lyhennystapa="Annuiteetti",(D101-F101),IF(Lyhennystapa="Tasalyhennys",(D101-'Edistynyt vuokratuottolaskuri'!$C$38),IF(Lyhennystapa="Bullet",D100,"")))</f>
        <v>27311.958541139582</v>
      </c>
      <c r="H101" s="15">
        <f t="shared" si="13"/>
        <v>3018.1664588765134</v>
      </c>
      <c r="I101" s="15">
        <f>-PMT(('Edistynyt vuokratuottolaskuri'!$C$18/12),('Edistynyt vuokratuottolaskuri'!$C$19*12),('Edistynyt vuokratuottolaskuri'!$C$17),0,0)</f>
        <v>110.41614461107285</v>
      </c>
      <c r="J101" s="15">
        <f>I101-(H101*('Edistynyt vuokratuottolaskuri'!$C$18/12))</f>
        <v>105.38586717961199</v>
      </c>
      <c r="K101" s="15">
        <f t="shared" si="12"/>
        <v>2912.7805916969014</v>
      </c>
      <c r="L101" s="15">
        <f t="shared" si="11"/>
        <v>30224.739132836483</v>
      </c>
      <c r="M101" s="15">
        <f>'Edistynyt vuokratuottolaskuri'!$C$6-K101-G101</f>
        <v>41775.26086716351</v>
      </c>
      <c r="N101" s="15">
        <f>$N$92+(('Edistynyt vuokratuottolaskuri'!$I$7+$N$92)*'Edistynyt vuokratuottolaskuri'!$C$9*(1-'Edistynyt vuokratuottolaskuri'!$C$41))</f>
        <v>0</v>
      </c>
      <c r="O101" s="15">
        <f>-'Edistynyt vuokratuottolaskuri'!$C$10*('Edistynyt vuokratuottolaskuri'!$I$7+N101-('Edistynyt vuokratuottolaskuri'!$I$17-(N101*Veroaste)))/12</f>
        <v>0</v>
      </c>
      <c r="P101" s="15">
        <f>P100+'Edistynyt vuokratuottolaskuri'!$I$19+N101+O101</f>
        <v>2910.0299598483853</v>
      </c>
      <c r="Q101" s="15">
        <f>IF(P100&gt;0,(P100*('Edistynyt vuokratuottolaskuri'!$F$7/12)),0)</f>
        <v>15.597452943976339</v>
      </c>
      <c r="R101" s="15"/>
      <c r="S101" s="15"/>
      <c r="T101" s="15"/>
      <c r="U101" s="15"/>
      <c r="V101" s="15">
        <f t="shared" si="14"/>
        <v>0</v>
      </c>
      <c r="W101" s="15">
        <f>W100+'Edistynyt vuokratuottolaskuri'!$I$19+Q101+N101</f>
        <v>3635.3115217432778</v>
      </c>
    </row>
    <row r="102" spans="1:23" x14ac:dyDescent="0.2">
      <c r="B102" s="2">
        <v>94</v>
      </c>
      <c r="C102" s="15">
        <f>C90+('Edistynyt vuokratuottolaskuri'!$C$52*C90)</f>
        <v>82554.422112239772</v>
      </c>
      <c r="D102" s="15">
        <f t="shared" si="9"/>
        <v>27311.958541139582</v>
      </c>
      <c r="E102" s="15">
        <f>-PMT(('Edistynyt vuokratuottolaskuri'!$C$33/12),('Edistynyt vuokratuottolaskuri'!$C$34*12),('Edistynyt vuokratuottolaskuri'!$C$29),0,0)</f>
        <v>209.63805404269655</v>
      </c>
      <c r="F102" s="15">
        <f>E102-(D102*('Edistynyt vuokratuottolaskuri'!$C$33/12))</f>
        <v>164.11812314079725</v>
      </c>
      <c r="G102" s="15">
        <f>IF(Lyhennystapa="Annuiteetti",(D102-F102),IF(Lyhennystapa="Tasalyhennys",(D102-'Edistynyt vuokratuottolaskuri'!$C$38),IF(Lyhennystapa="Bullet",D101,"")))</f>
        <v>27147.840417998785</v>
      </c>
      <c r="H102" s="15">
        <f t="shared" si="13"/>
        <v>2912.7805916969014</v>
      </c>
      <c r="I102" s="15">
        <f>-PMT(('Edistynyt vuokratuottolaskuri'!$C$18/12),('Edistynyt vuokratuottolaskuri'!$C$19*12),('Edistynyt vuokratuottolaskuri'!$C$17),0,0)</f>
        <v>110.41614461107285</v>
      </c>
      <c r="J102" s="15">
        <f>I102-(H102*('Edistynyt vuokratuottolaskuri'!$C$18/12))</f>
        <v>105.56151029157802</v>
      </c>
      <c r="K102" s="15">
        <f t="shared" si="12"/>
        <v>2807.2190814053233</v>
      </c>
      <c r="L102" s="15">
        <f t="shared" si="11"/>
        <v>29955.059499404109</v>
      </c>
      <c r="M102" s="15">
        <f>'Edistynyt vuokratuottolaskuri'!$C$6-K102-G102</f>
        <v>42044.940500595898</v>
      </c>
      <c r="N102" s="15">
        <f>$N$92+(('Edistynyt vuokratuottolaskuri'!$I$7+$N$92)*'Edistynyt vuokratuottolaskuri'!$C$9*(1-'Edistynyt vuokratuottolaskuri'!$C$41))</f>
        <v>0</v>
      </c>
      <c r="O102" s="15">
        <f>-'Edistynyt vuokratuottolaskuri'!$C$10*('Edistynyt vuokratuottolaskuri'!$I$7+N102-('Edistynyt vuokratuottolaskuri'!$I$17-(N102*Veroaste)))/12</f>
        <v>0</v>
      </c>
      <c r="P102" s="15">
        <f>P101+'Edistynyt vuokratuottolaskuri'!$I$19+N102+O102</f>
        <v>2941.320604577938</v>
      </c>
      <c r="Q102" s="15">
        <f>IF(P101&gt;0,(P101*('Edistynyt vuokratuottolaskuri'!$F$7/12)),0)</f>
        <v>15.766990475976083</v>
      </c>
      <c r="R102" s="15"/>
      <c r="S102" s="15"/>
      <c r="T102" s="15"/>
      <c r="U102" s="15"/>
      <c r="V102" s="15">
        <f t="shared" si="14"/>
        <v>0</v>
      </c>
      <c r="W102" s="15">
        <f>W101+'Edistynyt vuokratuottolaskuri'!$I$19+Q102+N102</f>
        <v>3682.3691569488064</v>
      </c>
    </row>
    <row r="103" spans="1:23" x14ac:dyDescent="0.2">
      <c r="B103" s="2">
        <v>95</v>
      </c>
      <c r="C103" s="15">
        <f>C91+('Edistynyt vuokratuottolaskuri'!$C$52*C91)</f>
        <v>82554.422112239772</v>
      </c>
      <c r="D103" s="15">
        <f t="shared" si="9"/>
        <v>27147.840417998785</v>
      </c>
      <c r="E103" s="15">
        <f>-PMT(('Edistynyt vuokratuottolaskuri'!$C$33/12),('Edistynyt vuokratuottolaskuri'!$C$34*12),('Edistynyt vuokratuottolaskuri'!$C$29),0,0)</f>
        <v>209.63805404269655</v>
      </c>
      <c r="F103" s="15">
        <f>E103-(D103*('Edistynyt vuokratuottolaskuri'!$C$33/12))</f>
        <v>164.39165334603192</v>
      </c>
      <c r="G103" s="15">
        <f>IF(Lyhennystapa="Annuiteetti",(D103-F103),IF(Lyhennystapa="Tasalyhennys",(D103-'Edistynyt vuokratuottolaskuri'!$C$38),IF(Lyhennystapa="Bullet",D102,"")))</f>
        <v>26983.448764652752</v>
      </c>
      <c r="H103" s="15">
        <f t="shared" si="13"/>
        <v>2807.2190814053233</v>
      </c>
      <c r="I103" s="15">
        <f>-PMT(('Edistynyt vuokratuottolaskuri'!$C$18/12),('Edistynyt vuokratuottolaskuri'!$C$19*12),('Edistynyt vuokratuottolaskuri'!$C$17),0,0)</f>
        <v>110.41614461107285</v>
      </c>
      <c r="J103" s="15">
        <f>I103-(H103*('Edistynyt vuokratuottolaskuri'!$C$18/12))</f>
        <v>105.73744614206397</v>
      </c>
      <c r="K103" s="15">
        <f t="shared" si="12"/>
        <v>2701.4816352632592</v>
      </c>
      <c r="L103" s="15">
        <f t="shared" si="11"/>
        <v>29684.930399916011</v>
      </c>
      <c r="M103" s="15">
        <f>'Edistynyt vuokratuottolaskuri'!$C$6-K103-G103</f>
        <v>42315.069600083982</v>
      </c>
      <c r="N103" s="15">
        <f>$N$92+(('Edistynyt vuokratuottolaskuri'!$I$7+$N$92)*'Edistynyt vuokratuottolaskuri'!$C$9*(1-'Edistynyt vuokratuottolaskuri'!$C$41))</f>
        <v>0</v>
      </c>
      <c r="O103" s="15">
        <f>-'Edistynyt vuokratuottolaskuri'!$C$10*('Edistynyt vuokratuottolaskuri'!$I$7+N103-('Edistynyt vuokratuottolaskuri'!$I$17-(N103*Veroaste)))/12</f>
        <v>0</v>
      </c>
      <c r="P103" s="15">
        <f>P102+'Edistynyt vuokratuottolaskuri'!$I$19+N103+O103</f>
        <v>2972.6112493074907</v>
      </c>
      <c r="Q103" s="15">
        <f>IF(P102&gt;0,(P102*('Edistynyt vuokratuottolaskuri'!$F$7/12)),0)</f>
        <v>15.936528007975825</v>
      </c>
      <c r="R103" s="15"/>
      <c r="S103" s="15"/>
      <c r="T103" s="15"/>
      <c r="U103" s="15"/>
      <c r="V103" s="15">
        <f t="shared" si="14"/>
        <v>0</v>
      </c>
      <c r="W103" s="15">
        <f>W102+'Edistynyt vuokratuottolaskuri'!$I$19+Q103+N103</f>
        <v>3729.5963296863351</v>
      </c>
    </row>
    <row r="104" spans="1:23" x14ac:dyDescent="0.2">
      <c r="B104" s="2">
        <v>96</v>
      </c>
      <c r="C104" s="15">
        <f>C92+('Edistynyt vuokratuottolaskuri'!$C$52*C92)</f>
        <v>82554.422112239772</v>
      </c>
      <c r="D104" s="15">
        <f t="shared" si="9"/>
        <v>26983.448764652752</v>
      </c>
      <c r="E104" s="15">
        <f>-PMT(('Edistynyt vuokratuottolaskuri'!$C$33/12),('Edistynyt vuokratuottolaskuri'!$C$34*12),('Edistynyt vuokratuottolaskuri'!$C$29),0,0)</f>
        <v>209.63805404269655</v>
      </c>
      <c r="F104" s="15">
        <f>E104-(D104*('Edistynyt vuokratuottolaskuri'!$C$33/12))</f>
        <v>164.66563943494197</v>
      </c>
      <c r="G104" s="15">
        <f>IF(Lyhennystapa="Annuiteetti",(D104-F104),IF(Lyhennystapa="Tasalyhennys",(D104-'Edistynyt vuokratuottolaskuri'!$C$38),IF(Lyhennystapa="Bullet",D103,"")))</f>
        <v>26818.783125217811</v>
      </c>
      <c r="H104" s="15">
        <f t="shared" si="13"/>
        <v>2701.4816352632592</v>
      </c>
      <c r="I104" s="15">
        <f>-PMT(('Edistynyt vuokratuottolaskuri'!$C$18/12),('Edistynyt vuokratuottolaskuri'!$C$19*12),('Edistynyt vuokratuottolaskuri'!$C$17),0,0)</f>
        <v>110.41614461107285</v>
      </c>
      <c r="J104" s="15">
        <f>I104-(H104*('Edistynyt vuokratuottolaskuri'!$C$18/12))</f>
        <v>105.91367521896743</v>
      </c>
      <c r="K104" s="15">
        <f t="shared" si="12"/>
        <v>2595.5679600442918</v>
      </c>
      <c r="L104" s="15">
        <f t="shared" si="11"/>
        <v>29414.351085262104</v>
      </c>
      <c r="M104" s="15">
        <f>'Edistynyt vuokratuottolaskuri'!$C$6-K104-G104</f>
        <v>42585.648914737889</v>
      </c>
      <c r="N104" s="15">
        <f>$N$92+(('Edistynyt vuokratuottolaskuri'!$I$7+$N$92)*'Edistynyt vuokratuottolaskuri'!$C$9*(1-'Edistynyt vuokratuottolaskuri'!$C$41))</f>
        <v>0</v>
      </c>
      <c r="O104" s="15">
        <f>-'Edistynyt vuokratuottolaskuri'!$C$10*('Edistynyt vuokratuottolaskuri'!$I$7+N104-('Edistynyt vuokratuottolaskuri'!$I$17-(N104*Veroaste)))/12</f>
        <v>0</v>
      </c>
      <c r="P104" s="15">
        <f>P103+'Edistynyt vuokratuottolaskuri'!$I$19+N104+O104</f>
        <v>3003.9018940370433</v>
      </c>
      <c r="Q104" s="15">
        <f>IF(P103&gt;0,(P103*('Edistynyt vuokratuottolaskuri'!$F$7/12)),0)</f>
        <v>16.106065539975571</v>
      </c>
      <c r="R104" s="15"/>
      <c r="S104" s="15"/>
      <c r="T104" s="15"/>
      <c r="U104" s="15"/>
      <c r="V104" s="15">
        <f t="shared" si="14"/>
        <v>0</v>
      </c>
      <c r="W104" s="15">
        <f>W103+'Edistynyt vuokratuottolaskuri'!$I$19+Q104+N104</f>
        <v>3776.993039955863</v>
      </c>
    </row>
    <row r="105" spans="1:23" x14ac:dyDescent="0.2">
      <c r="A105" s="2" t="s">
        <v>43</v>
      </c>
      <c r="B105" s="2">
        <v>97</v>
      </c>
      <c r="C105" s="15">
        <f>C93+('Edistynyt vuokratuottolaskuri'!$C$52*C93)</f>
        <v>83379.966333362172</v>
      </c>
      <c r="D105" s="15">
        <f t="shared" si="9"/>
        <v>26818.783125217811</v>
      </c>
      <c r="E105" s="15">
        <f>-PMT(('Edistynyt vuokratuottolaskuri'!$C$33/12),('Edistynyt vuokratuottolaskuri'!$C$34*12),('Edistynyt vuokratuottolaskuri'!$C$29),0,0)</f>
        <v>209.63805404269655</v>
      </c>
      <c r="F105" s="15">
        <f>E105-(D105*('Edistynyt vuokratuottolaskuri'!$C$33/12))</f>
        <v>164.94008216733351</v>
      </c>
      <c r="G105" s="15">
        <f>IF(Lyhennystapa="Annuiteetti",(D105-F105),IF(Lyhennystapa="Tasalyhennys",(D105-'Edistynyt vuokratuottolaskuri'!$C$38),IF(Lyhennystapa="Bullet",D104,"")))</f>
        <v>26653.843043050478</v>
      </c>
      <c r="H105" s="15">
        <f t="shared" si="13"/>
        <v>2595.5679600442918</v>
      </c>
      <c r="I105" s="15">
        <f>-PMT(('Edistynyt vuokratuottolaskuri'!$C$18/12),('Edistynyt vuokratuottolaskuri'!$C$19*12),('Edistynyt vuokratuottolaskuri'!$C$17),0,0)</f>
        <v>110.41614461107285</v>
      </c>
      <c r="J105" s="15">
        <f>I105-(H105*('Edistynyt vuokratuottolaskuri'!$C$18/12))</f>
        <v>106.09019801099903</v>
      </c>
      <c r="K105" s="15">
        <f t="shared" si="12"/>
        <v>2489.4777620332929</v>
      </c>
      <c r="L105" s="15">
        <f t="shared" si="11"/>
        <v>29143.320805083771</v>
      </c>
      <c r="M105" s="15">
        <f>'Edistynyt vuokratuottolaskuri'!$C$6-K105-G105</f>
        <v>42856.679194916229</v>
      </c>
      <c r="N105" s="15">
        <f>$N$104+(('Edistynyt vuokratuottolaskuri'!$I$7+$N$104)*'Edistynyt vuokratuottolaskuri'!$C$9*(1-'Edistynyt vuokratuottolaskuri'!$C$41))</f>
        <v>0</v>
      </c>
      <c r="O105" s="15">
        <f>-'Edistynyt vuokratuottolaskuri'!$C$10*('Edistynyt vuokratuottolaskuri'!$I$7+N105-('Edistynyt vuokratuottolaskuri'!$I$17-(N105*Veroaste)))/12</f>
        <v>0</v>
      </c>
      <c r="P105" s="15">
        <f>P104+'Edistynyt vuokratuottolaskuri'!$I$19+N105+O105</f>
        <v>3035.192538766596</v>
      </c>
      <c r="Q105" s="15">
        <f>IF(P104&gt;0,(P104*('Edistynyt vuokratuottolaskuri'!$F$7/12)),0)</f>
        <v>16.275603071975315</v>
      </c>
      <c r="R105" s="15">
        <f>P104</f>
        <v>3003.9018940370433</v>
      </c>
      <c r="S105" s="15">
        <f>(IF(C105&gt;=$C$9,C105,$C$9))-L104-'Edistynyt vuokratuottolaskuri'!$C$28</f>
        <v>33965.615248100068</v>
      </c>
      <c r="T105" s="15">
        <f>R105+S105</f>
        <v>36969.517142137112</v>
      </c>
      <c r="U105" s="15">
        <f>(R93+(S93*'Edistynyt vuokratuottolaskuri'!$C$42)+U93)*0.1+U93</f>
        <v>12526.538437574676</v>
      </c>
      <c r="V105" s="15">
        <f>T105+U105</f>
        <v>49496.055579711785</v>
      </c>
      <c r="W105" s="15">
        <f>W104+'Edistynyt vuokratuottolaskuri'!$I$19+Q105+N105</f>
        <v>3824.5592877573904</v>
      </c>
    </row>
    <row r="106" spans="1:23" x14ac:dyDescent="0.2">
      <c r="B106" s="2">
        <v>98</v>
      </c>
      <c r="C106" s="15">
        <f>C94+('Edistynyt vuokratuottolaskuri'!$C$52*C94)</f>
        <v>83379.966333362172</v>
      </c>
      <c r="D106" s="15">
        <f t="shared" si="9"/>
        <v>26653.843043050478</v>
      </c>
      <c r="E106" s="15">
        <f>-PMT(('Edistynyt vuokratuottolaskuri'!$C$33/12),('Edistynyt vuokratuottolaskuri'!$C$34*12),('Edistynyt vuokratuottolaskuri'!$C$29),0,0)</f>
        <v>209.63805404269655</v>
      </c>
      <c r="F106" s="15">
        <f>E106-(D106*('Edistynyt vuokratuottolaskuri'!$C$33/12))</f>
        <v>165.21498230427909</v>
      </c>
      <c r="G106" s="15">
        <f>IF(Lyhennystapa="Annuiteetti",(D106-F106),IF(Lyhennystapa="Tasalyhennys",(D106-'Edistynyt vuokratuottolaskuri'!$C$38),IF(Lyhennystapa="Bullet",D105,"")))</f>
        <v>26488.628060746199</v>
      </c>
      <c r="H106" s="15">
        <f t="shared" si="13"/>
        <v>2489.4777620332929</v>
      </c>
      <c r="I106" s="15">
        <f>-PMT(('Edistynyt vuokratuottolaskuri'!$C$18/12),('Edistynyt vuokratuottolaskuri'!$C$19*12),('Edistynyt vuokratuottolaskuri'!$C$17),0,0)</f>
        <v>110.41614461107285</v>
      </c>
      <c r="J106" s="15">
        <f>I106-(H106*('Edistynyt vuokratuottolaskuri'!$C$18/12))</f>
        <v>106.26701500768402</v>
      </c>
      <c r="K106" s="15">
        <f t="shared" si="12"/>
        <v>2383.2107470256087</v>
      </c>
      <c r="L106" s="15">
        <f t="shared" si="11"/>
        <v>28871.838807771808</v>
      </c>
      <c r="M106" s="15">
        <f>'Edistynyt vuokratuottolaskuri'!$C$6-K106-G106</f>
        <v>43128.161192228188</v>
      </c>
      <c r="N106" s="15">
        <f>$N$104+(('Edistynyt vuokratuottolaskuri'!$I$7+$N$104)*'Edistynyt vuokratuottolaskuri'!$C$9*(1-'Edistynyt vuokratuottolaskuri'!$C$41))</f>
        <v>0</v>
      </c>
      <c r="O106" s="15">
        <f>-'Edistynyt vuokratuottolaskuri'!$C$10*('Edistynyt vuokratuottolaskuri'!$I$7+N106-('Edistynyt vuokratuottolaskuri'!$I$17-(N106*Veroaste)))/12</f>
        <v>0</v>
      </c>
      <c r="P106" s="15">
        <f>P105+'Edistynyt vuokratuottolaskuri'!$I$19+N106+O106</f>
        <v>3066.4831834961487</v>
      </c>
      <c r="Q106" s="15">
        <f>IF(P105&gt;0,(P105*('Edistynyt vuokratuottolaskuri'!$F$7/12)),0)</f>
        <v>16.445140603975059</v>
      </c>
      <c r="R106" s="15"/>
      <c r="S106" s="15"/>
      <c r="T106" s="15"/>
      <c r="U106" s="15"/>
      <c r="V106" s="15">
        <f t="shared" si="14"/>
        <v>0</v>
      </c>
      <c r="W106" s="15">
        <f>W105+'Edistynyt vuokratuottolaskuri'!$I$19+Q106+N106</f>
        <v>3872.2950730909179</v>
      </c>
    </row>
    <row r="107" spans="1:23" x14ac:dyDescent="0.2">
      <c r="B107" s="2">
        <v>99</v>
      </c>
      <c r="C107" s="15">
        <f>C95+('Edistynyt vuokratuottolaskuri'!$C$52*C95)</f>
        <v>83379.966333362172</v>
      </c>
      <c r="D107" s="15">
        <f t="shared" si="9"/>
        <v>26488.628060746199</v>
      </c>
      <c r="E107" s="15">
        <f>-PMT(('Edistynyt vuokratuottolaskuri'!$C$33/12),('Edistynyt vuokratuottolaskuri'!$C$34*12),('Edistynyt vuokratuottolaskuri'!$C$29),0,0)</f>
        <v>209.63805404269655</v>
      </c>
      <c r="F107" s="15">
        <f>E107-(D107*('Edistynyt vuokratuottolaskuri'!$C$33/12))</f>
        <v>165.49034060811954</v>
      </c>
      <c r="G107" s="15">
        <f>IF(Lyhennystapa="Annuiteetti",(D107-F107),IF(Lyhennystapa="Tasalyhennys",(D107-'Edistynyt vuokratuottolaskuri'!$C$38),IF(Lyhennystapa="Bullet",D106,"")))</f>
        <v>26323.137720138078</v>
      </c>
      <c r="H107" s="15">
        <f t="shared" si="13"/>
        <v>2383.2107470256087</v>
      </c>
      <c r="I107" s="15">
        <f>-PMT(('Edistynyt vuokratuottolaskuri'!$C$18/12),('Edistynyt vuokratuottolaskuri'!$C$19*12),('Edistynyt vuokratuottolaskuri'!$C$17),0,0)</f>
        <v>110.41614461107285</v>
      </c>
      <c r="J107" s="15">
        <f>I107-(H107*('Edistynyt vuokratuottolaskuri'!$C$18/12))</f>
        <v>106.44412669936351</v>
      </c>
      <c r="K107" s="15">
        <f t="shared" si="12"/>
        <v>2276.7666203262452</v>
      </c>
      <c r="L107" s="15">
        <f t="shared" si="11"/>
        <v>28599.904340464323</v>
      </c>
      <c r="M107" s="15">
        <f>'Edistynyt vuokratuottolaskuri'!$C$6-K107-G107</f>
        <v>43400.095659535669</v>
      </c>
      <c r="N107" s="15">
        <f>$N$104+(('Edistynyt vuokratuottolaskuri'!$I$7+$N$104)*'Edistynyt vuokratuottolaskuri'!$C$9*(1-'Edistynyt vuokratuottolaskuri'!$C$41))</f>
        <v>0</v>
      </c>
      <c r="O107" s="15">
        <f>-'Edistynyt vuokratuottolaskuri'!$C$10*('Edistynyt vuokratuottolaskuri'!$I$7+N107-('Edistynyt vuokratuottolaskuri'!$I$17-(N107*Veroaste)))/12</f>
        <v>0</v>
      </c>
      <c r="P107" s="15">
        <f>P106+'Edistynyt vuokratuottolaskuri'!$I$19+N107+O107</f>
        <v>3097.7738282257014</v>
      </c>
      <c r="Q107" s="15">
        <f>IF(P106&gt;0,(P106*('Edistynyt vuokratuottolaskuri'!$F$7/12)),0)</f>
        <v>16.614678135974803</v>
      </c>
      <c r="R107" s="15"/>
      <c r="S107" s="15"/>
      <c r="T107" s="15"/>
      <c r="U107" s="15"/>
      <c r="V107" s="15">
        <f t="shared" si="14"/>
        <v>0</v>
      </c>
      <c r="W107" s="15">
        <f>W106+'Edistynyt vuokratuottolaskuri'!$I$19+Q107+N107</f>
        <v>3920.2003959564454</v>
      </c>
    </row>
    <row r="108" spans="1:23" x14ac:dyDescent="0.2">
      <c r="B108" s="2">
        <v>100</v>
      </c>
      <c r="C108" s="15">
        <f>C96+('Edistynyt vuokratuottolaskuri'!$C$52*C96)</f>
        <v>83379.966333362172</v>
      </c>
      <c r="D108" s="15">
        <f t="shared" si="9"/>
        <v>26323.137720138078</v>
      </c>
      <c r="E108" s="15">
        <f>-PMT(('Edistynyt vuokratuottolaskuri'!$C$33/12),('Edistynyt vuokratuottolaskuri'!$C$34*12),('Edistynyt vuokratuottolaskuri'!$C$29),0,0)</f>
        <v>209.63805404269655</v>
      </c>
      <c r="F108" s="15">
        <f>E108-(D108*('Edistynyt vuokratuottolaskuri'!$C$33/12))</f>
        <v>165.76615784246641</v>
      </c>
      <c r="G108" s="15">
        <f>IF(Lyhennystapa="Annuiteetti",(D108-F108),IF(Lyhennystapa="Tasalyhennys",(D108-'Edistynyt vuokratuottolaskuri'!$C$38),IF(Lyhennystapa="Bullet",D107,"")))</f>
        <v>26157.371562295612</v>
      </c>
      <c r="H108" s="15">
        <f t="shared" si="13"/>
        <v>2276.7666203262452</v>
      </c>
      <c r="I108" s="15">
        <f>-PMT(('Edistynyt vuokratuottolaskuri'!$C$18/12),('Edistynyt vuokratuottolaskuri'!$C$19*12),('Edistynyt vuokratuottolaskuri'!$C$17),0,0)</f>
        <v>110.41614461107285</v>
      </c>
      <c r="J108" s="15">
        <f>I108-(H108*('Edistynyt vuokratuottolaskuri'!$C$18/12))</f>
        <v>106.62153357719578</v>
      </c>
      <c r="K108" s="15">
        <f t="shared" si="12"/>
        <v>2170.1450867490494</v>
      </c>
      <c r="L108" s="15">
        <f t="shared" si="11"/>
        <v>28327.516649044661</v>
      </c>
      <c r="M108" s="15">
        <f>'Edistynyt vuokratuottolaskuri'!$C$6-K108-G108</f>
        <v>43672.483350955343</v>
      </c>
      <c r="N108" s="15">
        <f>$N$104+(('Edistynyt vuokratuottolaskuri'!$I$7+$N$104)*'Edistynyt vuokratuottolaskuri'!$C$9*(1-'Edistynyt vuokratuottolaskuri'!$C$41))</f>
        <v>0</v>
      </c>
      <c r="O108" s="15">
        <f>-'Edistynyt vuokratuottolaskuri'!$C$10*('Edistynyt vuokratuottolaskuri'!$I$7+N108-('Edistynyt vuokratuottolaskuri'!$I$17-(N108*Veroaste)))/12</f>
        <v>0</v>
      </c>
      <c r="P108" s="15">
        <f>P107+'Edistynyt vuokratuottolaskuri'!$I$19+N108+O108</f>
        <v>3129.0644729552541</v>
      </c>
      <c r="Q108" s="15">
        <f>IF(P107&gt;0,(P107*('Edistynyt vuokratuottolaskuri'!$F$7/12)),0)</f>
        <v>16.784215667974546</v>
      </c>
      <c r="R108" s="15"/>
      <c r="S108" s="15"/>
      <c r="T108" s="15"/>
      <c r="U108" s="15"/>
      <c r="V108" s="15">
        <f t="shared" si="14"/>
        <v>0</v>
      </c>
      <c r="W108" s="15">
        <f>W107+'Edistynyt vuokratuottolaskuri'!$I$19+Q108+N108</f>
        <v>3968.2752563539725</v>
      </c>
    </row>
    <row r="109" spans="1:23" x14ac:dyDescent="0.2">
      <c r="B109" s="2">
        <v>101</v>
      </c>
      <c r="C109" s="15">
        <f>C97+('Edistynyt vuokratuottolaskuri'!$C$52*C97)</f>
        <v>83379.966333362172</v>
      </c>
      <c r="D109" s="15">
        <f t="shared" si="9"/>
        <v>26157.371562295612</v>
      </c>
      <c r="E109" s="15">
        <f>-PMT(('Edistynyt vuokratuottolaskuri'!$C$33/12),('Edistynyt vuokratuottolaskuri'!$C$34*12),('Edistynyt vuokratuottolaskuri'!$C$29),0,0)</f>
        <v>209.63805404269655</v>
      </c>
      <c r="F109" s="15">
        <f>E109-(D109*('Edistynyt vuokratuottolaskuri'!$C$33/12))</f>
        <v>166.04243477220388</v>
      </c>
      <c r="G109" s="15">
        <f>IF(Lyhennystapa="Annuiteetti",(D109-F109),IF(Lyhennystapa="Tasalyhennys",(D109-'Edistynyt vuokratuottolaskuri'!$C$38),IF(Lyhennystapa="Bullet",D108,"")))</f>
        <v>25991.329127523408</v>
      </c>
      <c r="H109" s="15">
        <f t="shared" si="13"/>
        <v>2170.1450867490494</v>
      </c>
      <c r="I109" s="15">
        <f>-PMT(('Edistynyt vuokratuottolaskuri'!$C$18/12),('Edistynyt vuokratuottolaskuri'!$C$19*12),('Edistynyt vuokratuottolaskuri'!$C$17),0,0)</f>
        <v>110.41614461107285</v>
      </c>
      <c r="J109" s="15">
        <f>I109-(H109*('Edistynyt vuokratuottolaskuri'!$C$18/12))</f>
        <v>106.79923613315776</v>
      </c>
      <c r="K109" s="15">
        <f t="shared" si="12"/>
        <v>2063.3458506158918</v>
      </c>
      <c r="L109" s="15">
        <f t="shared" si="11"/>
        <v>28054.674978139301</v>
      </c>
      <c r="M109" s="15">
        <f>'Edistynyt vuokratuottolaskuri'!$C$6-K109-G109</f>
        <v>43945.325021860699</v>
      </c>
      <c r="N109" s="15">
        <f>$N$104+(('Edistynyt vuokratuottolaskuri'!$I$7+$N$104)*'Edistynyt vuokratuottolaskuri'!$C$9*(1-'Edistynyt vuokratuottolaskuri'!$C$41))</f>
        <v>0</v>
      </c>
      <c r="O109" s="15">
        <f>-'Edistynyt vuokratuottolaskuri'!$C$10*('Edistynyt vuokratuottolaskuri'!$I$7+N109-('Edistynyt vuokratuottolaskuri'!$I$17-(N109*Veroaste)))/12</f>
        <v>0</v>
      </c>
      <c r="P109" s="15">
        <f>P108+'Edistynyt vuokratuottolaskuri'!$I$19+N109+O109</f>
        <v>3160.3551176848068</v>
      </c>
      <c r="Q109" s="15">
        <f>IF(P108&gt;0,(P108*('Edistynyt vuokratuottolaskuri'!$F$7/12)),0)</f>
        <v>16.953753199974287</v>
      </c>
      <c r="R109" s="15"/>
      <c r="S109" s="15"/>
      <c r="T109" s="15"/>
      <c r="U109" s="15"/>
      <c r="V109" s="15">
        <f t="shared" si="14"/>
        <v>0</v>
      </c>
      <c r="W109" s="15">
        <f>W108+'Edistynyt vuokratuottolaskuri'!$I$19+Q109+N109</f>
        <v>4016.5196542834997</v>
      </c>
    </row>
    <row r="110" spans="1:23" x14ac:dyDescent="0.2">
      <c r="B110" s="2">
        <v>102</v>
      </c>
      <c r="C110" s="15">
        <f>C98+('Edistynyt vuokratuottolaskuri'!$C$52*C98)</f>
        <v>83379.966333362172</v>
      </c>
      <c r="D110" s="15">
        <f t="shared" si="9"/>
        <v>25991.329127523408</v>
      </c>
      <c r="E110" s="15">
        <f>-PMT(('Edistynyt vuokratuottolaskuri'!$C$33/12),('Edistynyt vuokratuottolaskuri'!$C$34*12),('Edistynyt vuokratuottolaskuri'!$C$29),0,0)</f>
        <v>209.63805404269655</v>
      </c>
      <c r="F110" s="15">
        <f>E110-(D110*('Edistynyt vuokratuottolaskuri'!$C$33/12))</f>
        <v>166.31917216349086</v>
      </c>
      <c r="G110" s="15">
        <f>IF(Lyhennystapa="Annuiteetti",(D110-F110),IF(Lyhennystapa="Tasalyhennys",(D110-'Edistynyt vuokratuottolaskuri'!$C$38),IF(Lyhennystapa="Bullet",D109,"")))</f>
        <v>25825.009955359918</v>
      </c>
      <c r="H110" s="15">
        <f t="shared" si="13"/>
        <v>2063.3458506158918</v>
      </c>
      <c r="I110" s="15">
        <f>-PMT(('Edistynyt vuokratuottolaskuri'!$C$18/12),('Edistynyt vuokratuottolaskuri'!$C$19*12),('Edistynyt vuokratuottolaskuri'!$C$17),0,0)</f>
        <v>110.41614461107285</v>
      </c>
      <c r="J110" s="15">
        <f>I110-(H110*('Edistynyt vuokratuottolaskuri'!$C$18/12))</f>
        <v>106.97723486004637</v>
      </c>
      <c r="K110" s="15">
        <f t="shared" si="12"/>
        <v>1956.3686157558454</v>
      </c>
      <c r="L110" s="15">
        <f t="shared" si="11"/>
        <v>27781.378571115762</v>
      </c>
      <c r="M110" s="15">
        <f>'Edistynyt vuokratuottolaskuri'!$C$6-K110-G110</f>
        <v>44218.621428884246</v>
      </c>
      <c r="N110" s="15">
        <f>$N$104+(('Edistynyt vuokratuottolaskuri'!$I$7+$N$104)*'Edistynyt vuokratuottolaskuri'!$C$9*(1-'Edistynyt vuokratuottolaskuri'!$C$41))</f>
        <v>0</v>
      </c>
      <c r="O110" s="15">
        <f>-'Edistynyt vuokratuottolaskuri'!$C$10*('Edistynyt vuokratuottolaskuri'!$I$7+N110-('Edistynyt vuokratuottolaskuri'!$I$17-(N110*Veroaste)))/12</f>
        <v>0</v>
      </c>
      <c r="P110" s="15">
        <f>P109+'Edistynyt vuokratuottolaskuri'!$I$19+N110+O110</f>
        <v>3191.6457624143595</v>
      </c>
      <c r="Q110" s="15">
        <f>IF(P109&gt;0,(P109*('Edistynyt vuokratuottolaskuri'!$F$7/12)),0)</f>
        <v>17.123290731974031</v>
      </c>
      <c r="R110" s="15"/>
      <c r="S110" s="15"/>
      <c r="T110" s="15"/>
      <c r="U110" s="15"/>
      <c r="V110" s="15">
        <f t="shared" si="14"/>
        <v>0</v>
      </c>
      <c r="W110" s="15">
        <f>W109+'Edistynyt vuokratuottolaskuri'!$I$19+Q110+N110</f>
        <v>4064.933589745026</v>
      </c>
    </row>
    <row r="111" spans="1:23" x14ac:dyDescent="0.2">
      <c r="B111" s="2">
        <v>103</v>
      </c>
      <c r="C111" s="15">
        <f>C99+('Edistynyt vuokratuottolaskuri'!$C$52*C99)</f>
        <v>83379.966333362172</v>
      </c>
      <c r="D111" s="15">
        <f t="shared" si="9"/>
        <v>25825.009955359918</v>
      </c>
      <c r="E111" s="15">
        <f>-PMT(('Edistynyt vuokratuottolaskuri'!$C$33/12),('Edistynyt vuokratuottolaskuri'!$C$34*12),('Edistynyt vuokratuottolaskuri'!$C$29),0,0)</f>
        <v>209.63805404269655</v>
      </c>
      <c r="F111" s="15">
        <f>E111-(D111*('Edistynyt vuokratuottolaskuri'!$C$33/12))</f>
        <v>166.59637078376335</v>
      </c>
      <c r="G111" s="15">
        <f>IF(Lyhennystapa="Annuiteetti",(D111-F111),IF(Lyhennystapa="Tasalyhennys",(D111-'Edistynyt vuokratuottolaskuri'!$C$38),IF(Lyhennystapa="Bullet",D110,"")))</f>
        <v>25658.413584576156</v>
      </c>
      <c r="H111" s="15">
        <f t="shared" si="13"/>
        <v>1956.3686157558454</v>
      </c>
      <c r="I111" s="15">
        <f>-PMT(('Edistynyt vuokratuottolaskuri'!$C$18/12),('Edistynyt vuokratuottolaskuri'!$C$19*12),('Edistynyt vuokratuottolaskuri'!$C$17),0,0)</f>
        <v>110.41614461107285</v>
      </c>
      <c r="J111" s="15">
        <f>I111-(H111*('Edistynyt vuokratuottolaskuri'!$C$18/12))</f>
        <v>107.15553025147977</v>
      </c>
      <c r="K111" s="15">
        <f t="shared" si="12"/>
        <v>1849.2130855043656</v>
      </c>
      <c r="L111" s="15">
        <f t="shared" si="11"/>
        <v>27507.626670080521</v>
      </c>
      <c r="M111" s="15">
        <f>'Edistynyt vuokratuottolaskuri'!$C$6-K111-G111</f>
        <v>44492.373329919479</v>
      </c>
      <c r="N111" s="15">
        <f>$N$104+(('Edistynyt vuokratuottolaskuri'!$I$7+$N$104)*'Edistynyt vuokratuottolaskuri'!$C$9*(1-'Edistynyt vuokratuottolaskuri'!$C$41))</f>
        <v>0</v>
      </c>
      <c r="O111" s="15">
        <f>-'Edistynyt vuokratuottolaskuri'!$C$10*('Edistynyt vuokratuottolaskuri'!$I$7+N111-('Edistynyt vuokratuottolaskuri'!$I$17-(N111*Veroaste)))/12</f>
        <v>0</v>
      </c>
      <c r="P111" s="15">
        <f>P110+'Edistynyt vuokratuottolaskuri'!$I$19+N111+O111</f>
        <v>3222.9364071439122</v>
      </c>
      <c r="Q111" s="15">
        <f>IF(P110&gt;0,(P110*('Edistynyt vuokratuottolaskuri'!$F$7/12)),0)</f>
        <v>17.292828263973774</v>
      </c>
      <c r="R111" s="15"/>
      <c r="S111" s="15"/>
      <c r="T111" s="15"/>
      <c r="U111" s="15"/>
      <c r="V111" s="15">
        <f t="shared" si="14"/>
        <v>0</v>
      </c>
      <c r="W111" s="15">
        <f>W110+'Edistynyt vuokratuottolaskuri'!$I$19+Q111+N111</f>
        <v>4113.5170627385523</v>
      </c>
    </row>
    <row r="112" spans="1:23" x14ac:dyDescent="0.2">
      <c r="B112" s="2">
        <v>104</v>
      </c>
      <c r="C112" s="15">
        <f>C100+('Edistynyt vuokratuottolaskuri'!$C$52*C100)</f>
        <v>83379.966333362172</v>
      </c>
      <c r="D112" s="15">
        <f t="shared" si="9"/>
        <v>25658.413584576156</v>
      </c>
      <c r="E112" s="15">
        <f>-PMT(('Edistynyt vuokratuottolaskuri'!$C$33/12),('Edistynyt vuokratuottolaskuri'!$C$34*12),('Edistynyt vuokratuottolaskuri'!$C$29),0,0)</f>
        <v>209.63805404269655</v>
      </c>
      <c r="F112" s="15">
        <f>E112-(D112*('Edistynyt vuokratuottolaskuri'!$C$33/12))</f>
        <v>166.87403140173629</v>
      </c>
      <c r="G112" s="15">
        <f>IF(Lyhennystapa="Annuiteetti",(D112-F112),IF(Lyhennystapa="Tasalyhennys",(D112-'Edistynyt vuokratuottolaskuri'!$C$38),IF(Lyhennystapa="Bullet",D111,"")))</f>
        <v>25491.539553174418</v>
      </c>
      <c r="H112" s="15">
        <f t="shared" si="13"/>
        <v>1849.2130855043656</v>
      </c>
      <c r="I112" s="15">
        <f>-PMT(('Edistynyt vuokratuottolaskuri'!$C$18/12),('Edistynyt vuokratuottolaskuri'!$C$19*12),('Edistynyt vuokratuottolaskuri'!$C$17),0,0)</f>
        <v>110.41614461107285</v>
      </c>
      <c r="J112" s="15">
        <f>I112-(H112*('Edistynyt vuokratuottolaskuri'!$C$18/12))</f>
        <v>107.33412280189891</v>
      </c>
      <c r="K112" s="15">
        <f t="shared" si="12"/>
        <v>1741.8789627024667</v>
      </c>
      <c r="L112" s="15">
        <f t="shared" si="11"/>
        <v>27233.418515876885</v>
      </c>
      <c r="M112" s="15">
        <f>'Edistynyt vuokratuottolaskuri'!$C$6-K112-G112</f>
        <v>44766.581484123119</v>
      </c>
      <c r="N112" s="15">
        <f>$N$104+(('Edistynyt vuokratuottolaskuri'!$I$7+$N$104)*'Edistynyt vuokratuottolaskuri'!$C$9*(1-'Edistynyt vuokratuottolaskuri'!$C$41))</f>
        <v>0</v>
      </c>
      <c r="O112" s="15">
        <f>-'Edistynyt vuokratuottolaskuri'!$C$10*('Edistynyt vuokratuottolaskuri'!$I$7+N112-('Edistynyt vuokratuottolaskuri'!$I$17-(N112*Veroaste)))/12</f>
        <v>0</v>
      </c>
      <c r="P112" s="15">
        <f>P111+'Edistynyt vuokratuottolaskuri'!$I$19+N112+O112</f>
        <v>3254.2270518734649</v>
      </c>
      <c r="Q112" s="15">
        <f>IF(P111&gt;0,(P111*('Edistynyt vuokratuottolaskuri'!$F$7/12)),0)</f>
        <v>17.462365795973518</v>
      </c>
      <c r="R112" s="15"/>
      <c r="S112" s="15"/>
      <c r="T112" s="15"/>
      <c r="U112" s="15"/>
      <c r="V112" s="15">
        <f t="shared" si="14"/>
        <v>0</v>
      </c>
      <c r="W112" s="15">
        <f>W111+'Edistynyt vuokratuottolaskuri'!$I$19+Q112+N112</f>
        <v>4162.2700732640787</v>
      </c>
    </row>
    <row r="113" spans="1:23" x14ac:dyDescent="0.2">
      <c r="B113" s="2">
        <v>105</v>
      </c>
      <c r="C113" s="15">
        <f>C101+('Edistynyt vuokratuottolaskuri'!$C$52*C101)</f>
        <v>83379.966333362172</v>
      </c>
      <c r="D113" s="15">
        <f t="shared" si="9"/>
        <v>25491.539553174418</v>
      </c>
      <c r="E113" s="15">
        <f>-PMT(('Edistynyt vuokratuottolaskuri'!$C$33/12),('Edistynyt vuokratuottolaskuri'!$C$34*12),('Edistynyt vuokratuottolaskuri'!$C$29),0,0)</f>
        <v>209.63805404269655</v>
      </c>
      <c r="F113" s="15">
        <f>E113-(D113*('Edistynyt vuokratuottolaskuri'!$C$33/12))</f>
        <v>167.15215478740586</v>
      </c>
      <c r="G113" s="15">
        <f>IF(Lyhennystapa="Annuiteetti",(D113-F113),IF(Lyhennystapa="Tasalyhennys",(D113-'Edistynyt vuokratuottolaskuri'!$C$38),IF(Lyhennystapa="Bullet",D112,"")))</f>
        <v>25324.387398387011</v>
      </c>
      <c r="H113" s="15">
        <f t="shared" si="13"/>
        <v>1741.8789627024667</v>
      </c>
      <c r="I113" s="15">
        <f>-PMT(('Edistynyt vuokratuottolaskuri'!$C$18/12),('Edistynyt vuokratuottolaskuri'!$C$19*12),('Edistynyt vuokratuottolaskuri'!$C$17),0,0)</f>
        <v>110.41614461107285</v>
      </c>
      <c r="J113" s="15">
        <f>I113-(H113*('Edistynyt vuokratuottolaskuri'!$C$18/12))</f>
        <v>107.51301300656874</v>
      </c>
      <c r="K113" s="15">
        <f t="shared" si="12"/>
        <v>1634.3659496958978</v>
      </c>
      <c r="L113" s="15">
        <f t="shared" si="11"/>
        <v>26958.753348082908</v>
      </c>
      <c r="M113" s="15">
        <f>'Edistynyt vuokratuottolaskuri'!$C$6-K113-G113</f>
        <v>45041.246651917085</v>
      </c>
      <c r="N113" s="15">
        <f>$N$104+(('Edistynyt vuokratuottolaskuri'!$I$7+$N$104)*'Edistynyt vuokratuottolaskuri'!$C$9*(1-'Edistynyt vuokratuottolaskuri'!$C$41))</f>
        <v>0</v>
      </c>
      <c r="O113" s="15">
        <f>-'Edistynyt vuokratuottolaskuri'!$C$10*('Edistynyt vuokratuottolaskuri'!$I$7+N113-('Edistynyt vuokratuottolaskuri'!$I$17-(N113*Veroaste)))/12</f>
        <v>0</v>
      </c>
      <c r="P113" s="15">
        <f>P112+'Edistynyt vuokratuottolaskuri'!$I$19+N113+O113</f>
        <v>3285.5176966030176</v>
      </c>
      <c r="Q113" s="15">
        <f>IF(P112&gt;0,(P112*('Edistynyt vuokratuottolaskuri'!$F$7/12)),0)</f>
        <v>17.631903327973262</v>
      </c>
      <c r="R113" s="15"/>
      <c r="S113" s="15"/>
      <c r="T113" s="15"/>
      <c r="U113" s="15"/>
      <c r="V113" s="15">
        <f t="shared" si="14"/>
        <v>0</v>
      </c>
      <c r="W113" s="15">
        <f>W112+'Edistynyt vuokratuottolaskuri'!$I$19+Q113+N113</f>
        <v>4211.1926213216047</v>
      </c>
    </row>
    <row r="114" spans="1:23" x14ac:dyDescent="0.2">
      <c r="B114" s="2">
        <v>106</v>
      </c>
      <c r="C114" s="15">
        <f>C102+('Edistynyt vuokratuottolaskuri'!$C$52*C102)</f>
        <v>83379.966333362172</v>
      </c>
      <c r="D114" s="15">
        <f t="shared" si="9"/>
        <v>25324.387398387011</v>
      </c>
      <c r="E114" s="15">
        <f>-PMT(('Edistynyt vuokratuottolaskuri'!$C$33/12),('Edistynyt vuokratuottolaskuri'!$C$34*12),('Edistynyt vuokratuottolaskuri'!$C$29),0,0)</f>
        <v>209.63805404269655</v>
      </c>
      <c r="F114" s="15">
        <f>E114-(D114*('Edistynyt vuokratuottolaskuri'!$C$33/12))</f>
        <v>167.43074171205154</v>
      </c>
      <c r="G114" s="15">
        <f>IF(Lyhennystapa="Annuiteetti",(D114-F114),IF(Lyhennystapa="Tasalyhennys",(D114-'Edistynyt vuokratuottolaskuri'!$C$38),IF(Lyhennystapa="Bullet",D113,"")))</f>
        <v>25156.95665667496</v>
      </c>
      <c r="H114" s="15">
        <f t="shared" si="13"/>
        <v>1634.3659496958978</v>
      </c>
      <c r="I114" s="15">
        <f>-PMT(('Edistynyt vuokratuottolaskuri'!$C$18/12),('Edistynyt vuokratuottolaskuri'!$C$19*12),('Edistynyt vuokratuottolaskuri'!$C$17),0,0)</f>
        <v>110.41614461107285</v>
      </c>
      <c r="J114" s="15">
        <f>I114-(H114*('Edistynyt vuokratuottolaskuri'!$C$18/12))</f>
        <v>107.69220136157969</v>
      </c>
      <c r="K114" s="15">
        <f t="shared" si="12"/>
        <v>1526.6737483343181</v>
      </c>
      <c r="L114" s="15">
        <f t="shared" si="11"/>
        <v>26683.630405009277</v>
      </c>
      <c r="M114" s="15">
        <f>'Edistynyt vuokratuottolaskuri'!$C$6-K114-G114</f>
        <v>45316.369594990727</v>
      </c>
      <c r="N114" s="15">
        <f>$N$104+(('Edistynyt vuokratuottolaskuri'!$I$7+$N$104)*'Edistynyt vuokratuottolaskuri'!$C$9*(1-'Edistynyt vuokratuottolaskuri'!$C$41))</f>
        <v>0</v>
      </c>
      <c r="O114" s="15">
        <f>-'Edistynyt vuokratuottolaskuri'!$C$10*('Edistynyt vuokratuottolaskuri'!$I$7+N114-('Edistynyt vuokratuottolaskuri'!$I$17-(N114*Veroaste)))/12</f>
        <v>0</v>
      </c>
      <c r="P114" s="15">
        <f>P113+'Edistynyt vuokratuottolaskuri'!$I$19+N114+O114</f>
        <v>3316.8083413325703</v>
      </c>
      <c r="Q114" s="15">
        <f>IF(P113&gt;0,(P113*('Edistynyt vuokratuottolaskuri'!$F$7/12)),0)</f>
        <v>17.801440859973006</v>
      </c>
      <c r="R114" s="15"/>
      <c r="S114" s="15"/>
      <c r="T114" s="15"/>
      <c r="U114" s="15"/>
      <c r="V114" s="15">
        <f t="shared" si="14"/>
        <v>0</v>
      </c>
      <c r="W114" s="15">
        <f>W113+'Edistynyt vuokratuottolaskuri'!$I$19+Q114+N114</f>
        <v>4260.2847069111303</v>
      </c>
    </row>
    <row r="115" spans="1:23" x14ac:dyDescent="0.2">
      <c r="B115" s="2">
        <v>107</v>
      </c>
      <c r="C115" s="15">
        <f>C103+('Edistynyt vuokratuottolaskuri'!$C$52*C103)</f>
        <v>83379.966333362172</v>
      </c>
      <c r="D115" s="15">
        <f t="shared" si="9"/>
        <v>25156.95665667496</v>
      </c>
      <c r="E115" s="15">
        <f>-PMT(('Edistynyt vuokratuottolaskuri'!$C$33/12),('Edistynyt vuokratuottolaskuri'!$C$34*12),('Edistynyt vuokratuottolaskuri'!$C$29),0,0)</f>
        <v>209.63805404269655</v>
      </c>
      <c r="F115" s="15">
        <f>E115-(D115*('Edistynyt vuokratuottolaskuri'!$C$33/12))</f>
        <v>167.70979294823829</v>
      </c>
      <c r="G115" s="15">
        <f>IF(Lyhennystapa="Annuiteetti",(D115-F115),IF(Lyhennystapa="Tasalyhennys",(D115-'Edistynyt vuokratuottolaskuri'!$C$38),IF(Lyhennystapa="Bullet",D114,"")))</f>
        <v>24989.246863726723</v>
      </c>
      <c r="H115" s="15">
        <f t="shared" si="13"/>
        <v>1526.6737483343181</v>
      </c>
      <c r="I115" s="15">
        <f>-PMT(('Edistynyt vuokratuottolaskuri'!$C$18/12),('Edistynyt vuokratuottolaskuri'!$C$19*12),('Edistynyt vuokratuottolaskuri'!$C$17),0,0)</f>
        <v>110.41614461107285</v>
      </c>
      <c r="J115" s="15">
        <f>I115-(H115*('Edistynyt vuokratuottolaskuri'!$C$18/12))</f>
        <v>107.87168836384899</v>
      </c>
      <c r="K115" s="15">
        <f t="shared" si="12"/>
        <v>1418.8020599704691</v>
      </c>
      <c r="L115" s="15">
        <f t="shared" si="11"/>
        <v>26408.048923697192</v>
      </c>
      <c r="M115" s="15">
        <f>'Edistynyt vuokratuottolaskuri'!$C$6-K115-G115</f>
        <v>45591.951076302801</v>
      </c>
      <c r="N115" s="15">
        <f>$N$104+(('Edistynyt vuokratuottolaskuri'!$I$7+$N$104)*'Edistynyt vuokratuottolaskuri'!$C$9*(1-'Edistynyt vuokratuottolaskuri'!$C$41))</f>
        <v>0</v>
      </c>
      <c r="O115" s="15">
        <f>-'Edistynyt vuokratuottolaskuri'!$C$10*('Edistynyt vuokratuottolaskuri'!$I$7+N115-('Edistynyt vuokratuottolaskuri'!$I$17-(N115*Veroaste)))/12</f>
        <v>0</v>
      </c>
      <c r="P115" s="15">
        <f>P114+'Edistynyt vuokratuottolaskuri'!$I$19+N115+O115</f>
        <v>3348.098986062123</v>
      </c>
      <c r="Q115" s="15">
        <f>IF(P114&gt;0,(P114*('Edistynyt vuokratuottolaskuri'!$F$7/12)),0)</f>
        <v>17.97097839197275</v>
      </c>
      <c r="R115" s="15"/>
      <c r="S115" s="15"/>
      <c r="T115" s="15"/>
      <c r="U115" s="15"/>
      <c r="V115" s="15">
        <f t="shared" si="14"/>
        <v>0</v>
      </c>
      <c r="W115" s="15">
        <f>W114+'Edistynyt vuokratuottolaskuri'!$I$19+Q115+N115</f>
        <v>4309.5463300326555</v>
      </c>
    </row>
    <row r="116" spans="1:23" x14ac:dyDescent="0.2">
      <c r="B116" s="2">
        <v>108</v>
      </c>
      <c r="C116" s="15">
        <f>C104+('Edistynyt vuokratuottolaskuri'!$C$52*C104)</f>
        <v>83379.966333362172</v>
      </c>
      <c r="D116" s="15">
        <f t="shared" si="9"/>
        <v>24989.246863726723</v>
      </c>
      <c r="E116" s="15">
        <f>-PMT(('Edistynyt vuokratuottolaskuri'!$C$33/12),('Edistynyt vuokratuottolaskuri'!$C$34*12),('Edistynyt vuokratuottolaskuri'!$C$29),0,0)</f>
        <v>209.63805404269655</v>
      </c>
      <c r="F116" s="15">
        <f>E116-(D116*('Edistynyt vuokratuottolaskuri'!$C$33/12))</f>
        <v>167.98930926981868</v>
      </c>
      <c r="G116" s="15">
        <f>IF(Lyhennystapa="Annuiteetti",(D116-F116),IF(Lyhennystapa="Tasalyhennys",(D116-'Edistynyt vuokratuottolaskuri'!$C$38),IF(Lyhennystapa="Bullet",D115,"")))</f>
        <v>24821.257554456904</v>
      </c>
      <c r="H116" s="15">
        <f t="shared" si="13"/>
        <v>1418.8020599704691</v>
      </c>
      <c r="I116" s="15">
        <f>-PMT(('Edistynyt vuokratuottolaskuri'!$C$18/12),('Edistynyt vuokratuottolaskuri'!$C$19*12),('Edistynyt vuokratuottolaskuri'!$C$17),0,0)</f>
        <v>110.41614461107285</v>
      </c>
      <c r="J116" s="15">
        <f>I116-(H116*('Edistynyt vuokratuottolaskuri'!$C$18/12))</f>
        <v>108.05147451112207</v>
      </c>
      <c r="K116" s="15">
        <f t="shared" si="12"/>
        <v>1310.7505854593471</v>
      </c>
      <c r="L116" s="15">
        <f t="shared" si="11"/>
        <v>26132.008139916252</v>
      </c>
      <c r="M116" s="15">
        <f>'Edistynyt vuokratuottolaskuri'!$C$6-K116-G116</f>
        <v>45867.991860083748</v>
      </c>
      <c r="N116" s="15">
        <f>$N$104+(('Edistynyt vuokratuottolaskuri'!$I$7+$N$104)*'Edistynyt vuokratuottolaskuri'!$C$9*(1-'Edistynyt vuokratuottolaskuri'!$C$41))</f>
        <v>0</v>
      </c>
      <c r="O116" s="15">
        <f>-'Edistynyt vuokratuottolaskuri'!$C$10*('Edistynyt vuokratuottolaskuri'!$I$7+N116-('Edistynyt vuokratuottolaskuri'!$I$17-(N116*Veroaste)))/12</f>
        <v>0</v>
      </c>
      <c r="P116" s="15">
        <f>P115+'Edistynyt vuokratuottolaskuri'!$I$19+N116+O116</f>
        <v>3379.3896307916757</v>
      </c>
      <c r="Q116" s="15">
        <f>IF(P115&gt;0,(P115*('Edistynyt vuokratuottolaskuri'!$F$7/12)),0)</f>
        <v>18.140515923972494</v>
      </c>
      <c r="R116" s="15"/>
      <c r="S116" s="15"/>
      <c r="T116" s="15"/>
      <c r="U116" s="15"/>
      <c r="V116" s="15">
        <f t="shared" si="14"/>
        <v>0</v>
      </c>
      <c r="W116" s="15">
        <f>W115+'Edistynyt vuokratuottolaskuri'!$I$19+Q116+N116</f>
        <v>4358.9774906861803</v>
      </c>
    </row>
    <row r="117" spans="1:23" x14ac:dyDescent="0.2">
      <c r="A117" s="2" t="s">
        <v>44</v>
      </c>
      <c r="B117" s="2">
        <v>109</v>
      </c>
      <c r="C117" s="15">
        <f>C105+('Edistynyt vuokratuottolaskuri'!$C$52*C105)</f>
        <v>84213.765996695787</v>
      </c>
      <c r="D117" s="15">
        <f t="shared" ref="D117:D180" si="15">G116</f>
        <v>24821.257554456904</v>
      </c>
      <c r="E117" s="15">
        <f>-PMT(('Edistynyt vuokratuottolaskuri'!$C$33/12),('Edistynyt vuokratuottolaskuri'!$C$34*12),('Edistynyt vuokratuottolaskuri'!$C$29),0,0)</f>
        <v>209.63805404269655</v>
      </c>
      <c r="F117" s="15">
        <f>E117-(D117*('Edistynyt vuokratuottolaskuri'!$C$33/12))</f>
        <v>168.26929145193503</v>
      </c>
      <c r="G117" s="15">
        <f>IF(Lyhennystapa="Annuiteetti",(D117-F117),IF(Lyhennystapa="Tasalyhennys",(D117-'Edistynyt vuokratuottolaskuri'!$C$38),IF(Lyhennystapa="Bullet",D116,"")))</f>
        <v>24652.988263004969</v>
      </c>
      <c r="H117" s="15">
        <f t="shared" si="13"/>
        <v>1310.7505854593471</v>
      </c>
      <c r="I117" s="15">
        <f>-PMT(('Edistynyt vuokratuottolaskuri'!$C$18/12),('Edistynyt vuokratuottolaskuri'!$C$19*12),('Edistynyt vuokratuottolaskuri'!$C$17),0,0)</f>
        <v>110.41614461107285</v>
      </c>
      <c r="J117" s="15">
        <f>I117-(H117*('Edistynyt vuokratuottolaskuri'!$C$18/12))</f>
        <v>108.23156030197394</v>
      </c>
      <c r="K117" s="15">
        <f t="shared" si="12"/>
        <v>1202.5190251573731</v>
      </c>
      <c r="L117" s="15">
        <f t="shared" si="11"/>
        <v>25855.507288162342</v>
      </c>
      <c r="M117" s="15">
        <f>'Edistynyt vuokratuottolaskuri'!$C$6-K117-G117</f>
        <v>46144.492711837651</v>
      </c>
      <c r="N117" s="15">
        <f>$N$116+(('Edistynyt vuokratuottolaskuri'!$I$7+$N$116)*'Edistynyt vuokratuottolaskuri'!$C$9*(1-'Edistynyt vuokratuottolaskuri'!$C$41))</f>
        <v>0</v>
      </c>
      <c r="O117" s="15">
        <f>-'Edistynyt vuokratuottolaskuri'!$C$10*('Edistynyt vuokratuottolaskuri'!$I$7+N117-('Edistynyt vuokratuottolaskuri'!$I$17-(N117*Veroaste)))/12</f>
        <v>0</v>
      </c>
      <c r="P117" s="15">
        <f>P116+'Edistynyt vuokratuottolaskuri'!$I$19+N117+O117</f>
        <v>3410.6802755212284</v>
      </c>
      <c r="Q117" s="15">
        <f>IF(P116&gt;0,(P116*('Edistynyt vuokratuottolaskuri'!$F$7/12)),0)</f>
        <v>18.310053455972238</v>
      </c>
      <c r="R117" s="15">
        <f>P116</f>
        <v>3379.3896307916757</v>
      </c>
      <c r="S117" s="15">
        <f>(IF(C117&gt;=$C$9,C117,$C$9))-L116-'Edistynyt vuokratuottolaskuri'!$C$28</f>
        <v>38081.757856779535</v>
      </c>
      <c r="T117" s="15">
        <f>R117+S117</f>
        <v>41461.147487571208</v>
      </c>
      <c r="U117" s="15">
        <f>(R105+(S105*'Edistynyt vuokratuottolaskuri'!$C$42)+U105)*0.1+U105</f>
        <v>16457.175538102852</v>
      </c>
      <c r="V117" s="15">
        <f>T117+U117</f>
        <v>57918.323025674064</v>
      </c>
      <c r="W117" s="15">
        <f>W116+'Edistynyt vuokratuottolaskuri'!$I$19+Q117+N117</f>
        <v>4408.5781888717056</v>
      </c>
    </row>
    <row r="118" spans="1:23" x14ac:dyDescent="0.2">
      <c r="B118" s="2">
        <v>110</v>
      </c>
      <c r="C118" s="15">
        <f>C106+('Edistynyt vuokratuottolaskuri'!$C$52*C106)</f>
        <v>84213.765996695787</v>
      </c>
      <c r="D118" s="15">
        <f t="shared" si="15"/>
        <v>24652.988263004969</v>
      </c>
      <c r="E118" s="15">
        <f>-PMT(('Edistynyt vuokratuottolaskuri'!$C$33/12),('Edistynyt vuokratuottolaskuri'!$C$34*12),('Edistynyt vuokratuottolaskuri'!$C$29),0,0)</f>
        <v>209.63805404269655</v>
      </c>
      <c r="F118" s="15">
        <f>E118-(D118*('Edistynyt vuokratuottolaskuri'!$C$33/12))</f>
        <v>168.54974027102162</v>
      </c>
      <c r="G118" s="15">
        <f>IF(Lyhennystapa="Annuiteetti",(D118-F118),IF(Lyhennystapa="Tasalyhennys",(D118-'Edistynyt vuokratuottolaskuri'!$C$38),IF(Lyhennystapa="Bullet",D117,"")))</f>
        <v>24484.438522733948</v>
      </c>
      <c r="H118" s="15">
        <f t="shared" si="13"/>
        <v>1202.5190251573731</v>
      </c>
      <c r="I118" s="15">
        <f>-PMT(('Edistynyt vuokratuottolaskuri'!$C$18/12),('Edistynyt vuokratuottolaskuri'!$C$19*12),('Edistynyt vuokratuottolaskuri'!$C$17),0,0)</f>
        <v>110.41614461107285</v>
      </c>
      <c r="J118" s="15">
        <f>I118-(H118*('Edistynyt vuokratuottolaskuri'!$C$18/12))</f>
        <v>108.41194623581056</v>
      </c>
      <c r="K118" s="15">
        <f t="shared" si="12"/>
        <v>1094.1070789215626</v>
      </c>
      <c r="L118" s="15">
        <f t="shared" si="11"/>
        <v>25578.545601655511</v>
      </c>
      <c r="M118" s="15">
        <f>'Edistynyt vuokratuottolaskuri'!$C$6-K118-G118</f>
        <v>46421.454398344489</v>
      </c>
      <c r="N118" s="15">
        <f>$N$116+(('Edistynyt vuokratuottolaskuri'!$I$7+$N$116)*'Edistynyt vuokratuottolaskuri'!$C$9*(1-'Edistynyt vuokratuottolaskuri'!$C$41))</f>
        <v>0</v>
      </c>
      <c r="O118" s="15">
        <f>-'Edistynyt vuokratuottolaskuri'!$C$10*('Edistynyt vuokratuottolaskuri'!$I$7+N118-('Edistynyt vuokratuottolaskuri'!$I$17-(N118*Veroaste)))/12</f>
        <v>0</v>
      </c>
      <c r="P118" s="15">
        <f>P117+'Edistynyt vuokratuottolaskuri'!$I$19+N118+O118</f>
        <v>3441.9709202507811</v>
      </c>
      <c r="Q118" s="15">
        <f>IF(P117&gt;0,(P117*('Edistynyt vuokratuottolaskuri'!$F$7/12)),0)</f>
        <v>18.479590987971982</v>
      </c>
      <c r="R118" s="15"/>
      <c r="S118" s="15"/>
      <c r="T118" s="15"/>
      <c r="U118" s="15"/>
      <c r="V118" s="15">
        <f t="shared" si="14"/>
        <v>0</v>
      </c>
      <c r="W118" s="15">
        <f>W117+'Edistynyt vuokratuottolaskuri'!$I$19+Q118+N118</f>
        <v>4458.3484245892305</v>
      </c>
    </row>
    <row r="119" spans="1:23" x14ac:dyDescent="0.2">
      <c r="B119" s="2">
        <v>111</v>
      </c>
      <c r="C119" s="15">
        <f>C107+('Edistynyt vuokratuottolaskuri'!$C$52*C107)</f>
        <v>84213.765996695787</v>
      </c>
      <c r="D119" s="15">
        <f t="shared" si="15"/>
        <v>24484.438522733948</v>
      </c>
      <c r="E119" s="15">
        <f>-PMT(('Edistynyt vuokratuottolaskuri'!$C$33/12),('Edistynyt vuokratuottolaskuri'!$C$34*12),('Edistynyt vuokratuottolaskuri'!$C$29),0,0)</f>
        <v>209.63805404269655</v>
      </c>
      <c r="F119" s="15">
        <f>E119-(D119*('Edistynyt vuokratuottolaskuri'!$C$33/12))</f>
        <v>168.83065650480663</v>
      </c>
      <c r="G119" s="15">
        <f>IF(Lyhennystapa="Annuiteetti",(D119-F119),IF(Lyhennystapa="Tasalyhennys",(D119-'Edistynyt vuokratuottolaskuri'!$C$38),IF(Lyhennystapa="Bullet",D118,"")))</f>
        <v>24315.60786622914</v>
      </c>
      <c r="H119" s="15">
        <f t="shared" si="13"/>
        <v>1094.1070789215626</v>
      </c>
      <c r="I119" s="15">
        <f>-PMT(('Edistynyt vuokratuottolaskuri'!$C$18/12),('Edistynyt vuokratuottolaskuri'!$C$19*12),('Edistynyt vuokratuottolaskuri'!$C$17),0,0)</f>
        <v>110.41614461107285</v>
      </c>
      <c r="J119" s="15">
        <f>I119-(H119*('Edistynyt vuokratuottolaskuri'!$C$18/12))</f>
        <v>108.59263281287025</v>
      </c>
      <c r="K119" s="15">
        <f t="shared" si="12"/>
        <v>985.51444610869225</v>
      </c>
      <c r="L119" s="15">
        <f t="shared" si="11"/>
        <v>25301.122312337833</v>
      </c>
      <c r="M119" s="15">
        <f>'Edistynyt vuokratuottolaskuri'!$C$6-K119-G119</f>
        <v>46698.877687662171</v>
      </c>
      <c r="N119" s="15">
        <f>$N$116+(('Edistynyt vuokratuottolaskuri'!$I$7+$N$116)*'Edistynyt vuokratuottolaskuri'!$C$9*(1-'Edistynyt vuokratuottolaskuri'!$C$41))</f>
        <v>0</v>
      </c>
      <c r="O119" s="15">
        <f>-'Edistynyt vuokratuottolaskuri'!$C$10*('Edistynyt vuokratuottolaskuri'!$I$7+N119-('Edistynyt vuokratuottolaskuri'!$I$17-(N119*Veroaste)))/12</f>
        <v>0</v>
      </c>
      <c r="P119" s="15">
        <f>P118+'Edistynyt vuokratuottolaskuri'!$I$19+N119+O119</f>
        <v>3473.2615649803338</v>
      </c>
      <c r="Q119" s="15">
        <f>IF(P118&gt;0,(P118*('Edistynyt vuokratuottolaskuri'!$F$7/12)),0)</f>
        <v>18.649128519971725</v>
      </c>
      <c r="R119" s="15"/>
      <c r="S119" s="15"/>
      <c r="T119" s="15"/>
      <c r="U119" s="15"/>
      <c r="V119" s="15">
        <f t="shared" si="14"/>
        <v>0</v>
      </c>
      <c r="W119" s="15">
        <f>W118+'Edistynyt vuokratuottolaskuri'!$I$19+Q119+N119</f>
        <v>4508.288197838755</v>
      </c>
    </row>
    <row r="120" spans="1:23" x14ac:dyDescent="0.2">
      <c r="B120" s="2">
        <v>112</v>
      </c>
      <c r="C120" s="15">
        <f>C108+('Edistynyt vuokratuottolaskuri'!$C$52*C108)</f>
        <v>84213.765996695787</v>
      </c>
      <c r="D120" s="15">
        <f t="shared" si="15"/>
        <v>24315.60786622914</v>
      </c>
      <c r="E120" s="15">
        <f>-PMT(('Edistynyt vuokratuottolaskuri'!$C$33/12),('Edistynyt vuokratuottolaskuri'!$C$34*12),('Edistynyt vuokratuottolaskuri'!$C$29),0,0)</f>
        <v>209.63805404269655</v>
      </c>
      <c r="F120" s="15">
        <f>E120-(D120*('Edistynyt vuokratuottolaskuri'!$C$33/12))</f>
        <v>169.11204093231464</v>
      </c>
      <c r="G120" s="15">
        <f>IF(Lyhennystapa="Annuiteetti",(D120-F120),IF(Lyhennystapa="Tasalyhennys",(D120-'Edistynyt vuokratuottolaskuri'!$C$38),IF(Lyhennystapa="Bullet",D119,"")))</f>
        <v>24146.495825296824</v>
      </c>
      <c r="H120" s="15">
        <f t="shared" si="13"/>
        <v>985.51444610869225</v>
      </c>
      <c r="I120" s="15">
        <f>-PMT(('Edistynyt vuokratuottolaskuri'!$C$18/12),('Edistynyt vuokratuottolaskuri'!$C$19*12),('Edistynyt vuokratuottolaskuri'!$C$17),0,0)</f>
        <v>110.41614461107285</v>
      </c>
      <c r="J120" s="15">
        <f>I120-(H120*('Edistynyt vuokratuottolaskuri'!$C$18/12))</f>
        <v>108.77362053422503</v>
      </c>
      <c r="K120" s="15">
        <f t="shared" si="12"/>
        <v>876.74082557446718</v>
      </c>
      <c r="L120" s="15">
        <f t="shared" si="11"/>
        <v>25023.236650871291</v>
      </c>
      <c r="M120" s="15">
        <f>'Edistynyt vuokratuottolaskuri'!$C$6-K120-G120</f>
        <v>46976.763349128712</v>
      </c>
      <c r="N120" s="15">
        <f>$N$116+(('Edistynyt vuokratuottolaskuri'!$I$7+$N$116)*'Edistynyt vuokratuottolaskuri'!$C$9*(1-'Edistynyt vuokratuottolaskuri'!$C$41))</f>
        <v>0</v>
      </c>
      <c r="O120" s="15">
        <f>-'Edistynyt vuokratuottolaskuri'!$C$10*('Edistynyt vuokratuottolaskuri'!$I$7+N120-('Edistynyt vuokratuottolaskuri'!$I$17-(N120*Veroaste)))/12</f>
        <v>0</v>
      </c>
      <c r="P120" s="15">
        <f>P119+'Edistynyt vuokratuottolaskuri'!$I$19+N120+O120</f>
        <v>3504.5522097098865</v>
      </c>
      <c r="Q120" s="15">
        <f>IF(P119&gt;0,(P119*('Edistynyt vuokratuottolaskuri'!$F$7/12)),0)</f>
        <v>18.818666051971469</v>
      </c>
      <c r="R120" s="15"/>
      <c r="S120" s="15"/>
      <c r="T120" s="15"/>
      <c r="U120" s="15"/>
      <c r="V120" s="15">
        <f t="shared" si="14"/>
        <v>0</v>
      </c>
      <c r="W120" s="15">
        <f>W119+'Edistynyt vuokratuottolaskuri'!$I$19+Q120+N120</f>
        <v>4558.397508620279</v>
      </c>
    </row>
    <row r="121" spans="1:23" x14ac:dyDescent="0.2">
      <c r="B121" s="2">
        <v>113</v>
      </c>
      <c r="C121" s="15">
        <f>C109+('Edistynyt vuokratuottolaskuri'!$C$52*C109)</f>
        <v>84213.765996695787</v>
      </c>
      <c r="D121" s="15">
        <f t="shared" si="15"/>
        <v>24146.495825296824</v>
      </c>
      <c r="E121" s="15">
        <f>-PMT(('Edistynyt vuokratuottolaskuri'!$C$33/12),('Edistynyt vuokratuottolaskuri'!$C$34*12),('Edistynyt vuokratuottolaskuri'!$C$29),0,0)</f>
        <v>209.63805404269655</v>
      </c>
      <c r="F121" s="15">
        <f>E121-(D121*('Edistynyt vuokratuottolaskuri'!$C$33/12))</f>
        <v>169.3938943338685</v>
      </c>
      <c r="G121" s="15">
        <f>IF(Lyhennystapa="Annuiteetti",(D121-F121),IF(Lyhennystapa="Tasalyhennys",(D121-'Edistynyt vuokratuottolaskuri'!$C$38),IF(Lyhennystapa="Bullet",D120,"")))</f>
        <v>23977.101930962956</v>
      </c>
      <c r="H121" s="15">
        <f t="shared" si="13"/>
        <v>876.74082557446718</v>
      </c>
      <c r="I121" s="15">
        <f>-PMT(('Edistynyt vuokratuottolaskuri'!$C$18/12),('Edistynyt vuokratuottolaskuri'!$C$19*12),('Edistynyt vuokratuottolaskuri'!$C$17),0,0)</f>
        <v>110.41614461107285</v>
      </c>
      <c r="J121" s="15">
        <f>I121-(H121*('Edistynyt vuokratuottolaskuri'!$C$18/12))</f>
        <v>108.95490990178207</v>
      </c>
      <c r="K121" s="15">
        <f t="shared" si="12"/>
        <v>767.78591567268506</v>
      </c>
      <c r="L121" s="15">
        <f t="shared" si="11"/>
        <v>24744.88784663564</v>
      </c>
      <c r="M121" s="15">
        <f>'Edistynyt vuokratuottolaskuri'!$C$6-K121-G121</f>
        <v>47255.112153364353</v>
      </c>
      <c r="N121" s="15">
        <f>$N$116+(('Edistynyt vuokratuottolaskuri'!$I$7+$N$116)*'Edistynyt vuokratuottolaskuri'!$C$9*(1-'Edistynyt vuokratuottolaskuri'!$C$41))</f>
        <v>0</v>
      </c>
      <c r="O121" s="15">
        <f>-'Edistynyt vuokratuottolaskuri'!$C$10*('Edistynyt vuokratuottolaskuri'!$I$7+N121-('Edistynyt vuokratuottolaskuri'!$I$17-(N121*Veroaste)))/12</f>
        <v>0</v>
      </c>
      <c r="P121" s="15">
        <f>P120+'Edistynyt vuokratuottolaskuri'!$I$19+N121+O121</f>
        <v>3535.8428544394392</v>
      </c>
      <c r="Q121" s="15">
        <f>IF(P120&gt;0,(P120*('Edistynyt vuokratuottolaskuri'!$F$7/12)),0)</f>
        <v>18.988203583971213</v>
      </c>
      <c r="R121" s="15"/>
      <c r="S121" s="15"/>
      <c r="T121" s="15"/>
      <c r="U121" s="15"/>
      <c r="V121" s="15">
        <f t="shared" si="14"/>
        <v>0</v>
      </c>
      <c r="W121" s="15">
        <f>W120+'Edistynyt vuokratuottolaskuri'!$I$19+Q121+N121</f>
        <v>4608.6763569338027</v>
      </c>
    </row>
    <row r="122" spans="1:23" x14ac:dyDescent="0.2">
      <c r="B122" s="2">
        <v>114</v>
      </c>
      <c r="C122" s="15">
        <f>C110+('Edistynyt vuokratuottolaskuri'!$C$52*C110)</f>
        <v>84213.765996695787</v>
      </c>
      <c r="D122" s="15">
        <f t="shared" si="15"/>
        <v>23977.101930962956</v>
      </c>
      <c r="E122" s="15">
        <f>-PMT(('Edistynyt vuokratuottolaskuri'!$C$33/12),('Edistynyt vuokratuottolaskuri'!$C$34*12),('Edistynyt vuokratuottolaskuri'!$C$29),0,0)</f>
        <v>209.63805404269655</v>
      </c>
      <c r="F122" s="15">
        <f>E122-(D122*('Edistynyt vuokratuottolaskuri'!$C$33/12))</f>
        <v>169.67621749109162</v>
      </c>
      <c r="G122" s="15">
        <f>IF(Lyhennystapa="Annuiteetti",(D122-F122),IF(Lyhennystapa="Tasalyhennys",(D122-'Edistynyt vuokratuottolaskuri'!$C$38),IF(Lyhennystapa="Bullet",D121,"")))</f>
        <v>23807.425713471865</v>
      </c>
      <c r="H122" s="15">
        <f t="shared" si="13"/>
        <v>767.78591567268506</v>
      </c>
      <c r="I122" s="15">
        <f>-PMT(('Edistynyt vuokratuottolaskuri'!$C$18/12),('Edistynyt vuokratuottolaskuri'!$C$19*12),('Edistynyt vuokratuottolaskuri'!$C$17),0,0)</f>
        <v>110.41614461107285</v>
      </c>
      <c r="J122" s="15">
        <f>I122-(H122*('Edistynyt vuokratuottolaskuri'!$C$18/12))</f>
        <v>109.13650141828505</v>
      </c>
      <c r="K122" s="15">
        <f t="shared" si="12"/>
        <v>658.64941425439997</v>
      </c>
      <c r="L122" s="15">
        <f t="shared" si="11"/>
        <v>24466.075127726264</v>
      </c>
      <c r="M122" s="15">
        <f>'Edistynyt vuokratuottolaskuri'!$C$6-K122-G122</f>
        <v>47533.924872273739</v>
      </c>
      <c r="N122" s="15">
        <f>$N$116+(('Edistynyt vuokratuottolaskuri'!$I$7+$N$116)*'Edistynyt vuokratuottolaskuri'!$C$9*(1-'Edistynyt vuokratuottolaskuri'!$C$41))</f>
        <v>0</v>
      </c>
      <c r="O122" s="15">
        <f>-'Edistynyt vuokratuottolaskuri'!$C$10*('Edistynyt vuokratuottolaskuri'!$I$7+N122-('Edistynyt vuokratuottolaskuri'!$I$17-(N122*Veroaste)))/12</f>
        <v>0</v>
      </c>
      <c r="P122" s="15">
        <f>P121+'Edistynyt vuokratuottolaskuri'!$I$19+N122+O122</f>
        <v>3567.1334991689919</v>
      </c>
      <c r="Q122" s="15">
        <f>IF(P121&gt;0,(P121*('Edistynyt vuokratuottolaskuri'!$F$7/12)),0)</f>
        <v>19.157741115970957</v>
      </c>
      <c r="R122" s="15"/>
      <c r="S122" s="15"/>
      <c r="T122" s="15"/>
      <c r="U122" s="15"/>
      <c r="V122" s="15">
        <f t="shared" si="14"/>
        <v>0</v>
      </c>
      <c r="W122" s="15">
        <f>W121+'Edistynyt vuokratuottolaskuri'!$I$19+Q122+N122</f>
        <v>4659.124742779326</v>
      </c>
    </row>
    <row r="123" spans="1:23" x14ac:dyDescent="0.2">
      <c r="B123" s="2">
        <v>115</v>
      </c>
      <c r="C123" s="15">
        <f>C111+('Edistynyt vuokratuottolaskuri'!$C$52*C111)</f>
        <v>84213.765996695787</v>
      </c>
      <c r="D123" s="15">
        <f t="shared" si="15"/>
        <v>23807.425713471865</v>
      </c>
      <c r="E123" s="15">
        <f>-PMT(('Edistynyt vuokratuottolaskuri'!$C$33/12),('Edistynyt vuokratuottolaskuri'!$C$34*12),('Edistynyt vuokratuottolaskuri'!$C$29),0,0)</f>
        <v>209.63805404269655</v>
      </c>
      <c r="F123" s="15">
        <f>E123-(D123*('Edistynyt vuokratuottolaskuri'!$C$33/12))</f>
        <v>169.95901118691012</v>
      </c>
      <c r="G123" s="15">
        <f>IF(Lyhennystapa="Annuiteetti",(D123-F123),IF(Lyhennystapa="Tasalyhennys",(D123-'Edistynyt vuokratuottolaskuri'!$C$38),IF(Lyhennystapa="Bullet",D122,"")))</f>
        <v>23637.466702284953</v>
      </c>
      <c r="H123" s="15">
        <f t="shared" si="13"/>
        <v>658.64941425439997</v>
      </c>
      <c r="I123" s="15">
        <f>-PMT(('Edistynyt vuokratuottolaskuri'!$C$18/12),('Edistynyt vuokratuottolaskuri'!$C$19*12),('Edistynyt vuokratuottolaskuri'!$C$17),0,0)</f>
        <v>110.41614461107285</v>
      </c>
      <c r="J123" s="15">
        <f>I123-(H123*('Edistynyt vuokratuottolaskuri'!$C$18/12))</f>
        <v>109.31839558731552</v>
      </c>
      <c r="K123" s="15">
        <f t="shared" si="12"/>
        <v>549.33101866708444</v>
      </c>
      <c r="L123" s="15">
        <f t="shared" si="11"/>
        <v>24186.79772095204</v>
      </c>
      <c r="M123" s="15">
        <f>'Edistynyt vuokratuottolaskuri'!$C$6-K123-G123</f>
        <v>47813.20227904796</v>
      </c>
      <c r="N123" s="15">
        <f>$N$116+(('Edistynyt vuokratuottolaskuri'!$I$7+$N$116)*'Edistynyt vuokratuottolaskuri'!$C$9*(1-'Edistynyt vuokratuottolaskuri'!$C$41))</f>
        <v>0</v>
      </c>
      <c r="O123" s="15">
        <f>-'Edistynyt vuokratuottolaskuri'!$C$10*('Edistynyt vuokratuottolaskuri'!$I$7+N123-('Edistynyt vuokratuottolaskuri'!$I$17-(N123*Veroaste)))/12</f>
        <v>0</v>
      </c>
      <c r="P123" s="15">
        <f>P122+'Edistynyt vuokratuottolaskuri'!$I$19+N123+O123</f>
        <v>3598.4241438985446</v>
      </c>
      <c r="Q123" s="15">
        <f>IF(P122&gt;0,(P122*('Edistynyt vuokratuottolaskuri'!$F$7/12)),0)</f>
        <v>19.327278647970701</v>
      </c>
      <c r="R123" s="15"/>
      <c r="S123" s="15"/>
      <c r="T123" s="15"/>
      <c r="U123" s="15"/>
      <c r="V123" s="15">
        <f t="shared" si="14"/>
        <v>0</v>
      </c>
      <c r="W123" s="15">
        <f>W122+'Edistynyt vuokratuottolaskuri'!$I$19+Q123+N123</f>
        <v>4709.7426661568497</v>
      </c>
    </row>
    <row r="124" spans="1:23" x14ac:dyDescent="0.2">
      <c r="B124" s="2">
        <v>116</v>
      </c>
      <c r="C124" s="15">
        <f>C112+('Edistynyt vuokratuottolaskuri'!$C$52*C112)</f>
        <v>84213.765996695787</v>
      </c>
      <c r="D124" s="15">
        <f t="shared" si="15"/>
        <v>23637.466702284953</v>
      </c>
      <c r="E124" s="15">
        <f>-PMT(('Edistynyt vuokratuottolaskuri'!$C$33/12),('Edistynyt vuokratuottolaskuri'!$C$34*12),('Edistynyt vuokratuottolaskuri'!$C$29),0,0)</f>
        <v>209.63805404269655</v>
      </c>
      <c r="F124" s="15">
        <f>E124-(D124*('Edistynyt vuokratuottolaskuri'!$C$33/12))</f>
        <v>170.24227620555496</v>
      </c>
      <c r="G124" s="15">
        <f>IF(Lyhennystapa="Annuiteetti",(D124-F124),IF(Lyhennystapa="Tasalyhennys",(D124-'Edistynyt vuokratuottolaskuri'!$C$38),IF(Lyhennystapa="Bullet",D123,"")))</f>
        <v>23467.2244260794</v>
      </c>
      <c r="H124" s="15">
        <f t="shared" si="13"/>
        <v>549.33101866708444</v>
      </c>
      <c r="I124" s="15">
        <f>-PMT(('Edistynyt vuokratuottolaskuri'!$C$18/12),('Edistynyt vuokratuottolaskuri'!$C$19*12),('Edistynyt vuokratuottolaskuri'!$C$17),0,0)</f>
        <v>110.41614461107285</v>
      </c>
      <c r="J124" s="15">
        <f>I124-(H124*('Edistynyt vuokratuottolaskuri'!$C$18/12))</f>
        <v>109.50059291329438</v>
      </c>
      <c r="K124" s="15">
        <f t="shared" si="12"/>
        <v>439.83042575379005</v>
      </c>
      <c r="L124" s="15">
        <f t="shared" si="11"/>
        <v>23907.054851833189</v>
      </c>
      <c r="M124" s="15">
        <f>'Edistynyt vuokratuottolaskuri'!$C$6-K124-G124</f>
        <v>48092.945148166807</v>
      </c>
      <c r="N124" s="15">
        <f>$N$116+(('Edistynyt vuokratuottolaskuri'!$I$7+$N$116)*'Edistynyt vuokratuottolaskuri'!$C$9*(1-'Edistynyt vuokratuottolaskuri'!$C$41))</f>
        <v>0</v>
      </c>
      <c r="O124" s="15">
        <f>-'Edistynyt vuokratuottolaskuri'!$C$10*('Edistynyt vuokratuottolaskuri'!$I$7+N124-('Edistynyt vuokratuottolaskuri'!$I$17-(N124*Veroaste)))/12</f>
        <v>0</v>
      </c>
      <c r="P124" s="15">
        <f>P123+'Edistynyt vuokratuottolaskuri'!$I$19+N124+O124</f>
        <v>3629.7147886280973</v>
      </c>
      <c r="Q124" s="15">
        <f>IF(P123&gt;0,(P123*('Edistynyt vuokratuottolaskuri'!$F$7/12)),0)</f>
        <v>19.496816179970445</v>
      </c>
      <c r="R124" s="15"/>
      <c r="S124" s="15"/>
      <c r="T124" s="15"/>
      <c r="U124" s="15"/>
      <c r="V124" s="15">
        <f t="shared" si="14"/>
        <v>0</v>
      </c>
      <c r="W124" s="15">
        <f>W123+'Edistynyt vuokratuottolaskuri'!$I$19+Q124+N124</f>
        <v>4760.5301270663731</v>
      </c>
    </row>
    <row r="125" spans="1:23" x14ac:dyDescent="0.2">
      <c r="B125" s="2">
        <v>117</v>
      </c>
      <c r="C125" s="15">
        <f>C113+('Edistynyt vuokratuottolaskuri'!$C$52*C113)</f>
        <v>84213.765996695787</v>
      </c>
      <c r="D125" s="15">
        <f t="shared" si="15"/>
        <v>23467.2244260794</v>
      </c>
      <c r="E125" s="15">
        <f>-PMT(('Edistynyt vuokratuottolaskuri'!$C$33/12),('Edistynyt vuokratuottolaskuri'!$C$34*12),('Edistynyt vuokratuottolaskuri'!$C$29),0,0)</f>
        <v>209.63805404269655</v>
      </c>
      <c r="F125" s="15">
        <f>E125-(D125*('Edistynyt vuokratuottolaskuri'!$C$33/12))</f>
        <v>170.52601333256422</v>
      </c>
      <c r="G125" s="15">
        <f>IF(Lyhennystapa="Annuiteetti",(D125-F125),IF(Lyhennystapa="Tasalyhennys",(D125-'Edistynyt vuokratuottolaskuri'!$C$38),IF(Lyhennystapa="Bullet",D124,"")))</f>
        <v>23296.698412746835</v>
      </c>
      <c r="H125" s="15">
        <f t="shared" si="13"/>
        <v>439.83042575379005</v>
      </c>
      <c r="I125" s="15">
        <f>-PMT(('Edistynyt vuokratuottolaskuri'!$C$18/12),('Edistynyt vuokratuottolaskuri'!$C$19*12),('Edistynyt vuokratuottolaskuri'!$C$17),0,0)</f>
        <v>110.41614461107285</v>
      </c>
      <c r="J125" s="15">
        <f>I125-(H125*('Edistynyt vuokratuottolaskuri'!$C$18/12))</f>
        <v>109.6830939014832</v>
      </c>
      <c r="K125" s="15">
        <f t="shared" si="12"/>
        <v>330.14733185230682</v>
      </c>
      <c r="L125" s="15">
        <f t="shared" si="11"/>
        <v>23626.845744599141</v>
      </c>
      <c r="M125" s="15">
        <f>'Edistynyt vuokratuottolaskuri'!$C$6-K125-G125</f>
        <v>48373.154255400863</v>
      </c>
      <c r="N125" s="15">
        <f>$N$116+(('Edistynyt vuokratuottolaskuri'!$I$7+$N$116)*'Edistynyt vuokratuottolaskuri'!$C$9*(1-'Edistynyt vuokratuottolaskuri'!$C$41))</f>
        <v>0</v>
      </c>
      <c r="O125" s="15">
        <f>-'Edistynyt vuokratuottolaskuri'!$C$10*('Edistynyt vuokratuottolaskuri'!$I$7+N125-('Edistynyt vuokratuottolaskuri'!$I$17-(N125*Veroaste)))/12</f>
        <v>0</v>
      </c>
      <c r="P125" s="15">
        <f>P124+'Edistynyt vuokratuottolaskuri'!$I$19+N125+O125</f>
        <v>3661.00543335765</v>
      </c>
      <c r="Q125" s="15">
        <f>IF(P124&gt;0,(P124*('Edistynyt vuokratuottolaskuri'!$F$7/12)),0)</f>
        <v>19.666353711970189</v>
      </c>
      <c r="R125" s="15"/>
      <c r="S125" s="15"/>
      <c r="T125" s="15"/>
      <c r="U125" s="15"/>
      <c r="V125" s="15">
        <f t="shared" si="14"/>
        <v>0</v>
      </c>
      <c r="W125" s="15">
        <f>W124+'Edistynyt vuokratuottolaskuri'!$I$19+Q125+N125</f>
        <v>4811.4871255078961</v>
      </c>
    </row>
    <row r="126" spans="1:23" x14ac:dyDescent="0.2">
      <c r="B126" s="2">
        <v>118</v>
      </c>
      <c r="C126" s="15">
        <f>C114+('Edistynyt vuokratuottolaskuri'!$C$52*C114)</f>
        <v>84213.765996695787</v>
      </c>
      <c r="D126" s="15">
        <f t="shared" si="15"/>
        <v>23296.698412746835</v>
      </c>
      <c r="E126" s="15">
        <f>-PMT(('Edistynyt vuokratuottolaskuri'!$C$33/12),('Edistynyt vuokratuottolaskuri'!$C$34*12),('Edistynyt vuokratuottolaskuri'!$C$29),0,0)</f>
        <v>209.63805404269655</v>
      </c>
      <c r="F126" s="15">
        <f>E126-(D126*('Edistynyt vuokratuottolaskuri'!$C$33/12))</f>
        <v>170.81022335478517</v>
      </c>
      <c r="G126" s="15">
        <f>IF(Lyhennystapa="Annuiteetti",(D126-F126),IF(Lyhennystapa="Tasalyhennys",(D126-'Edistynyt vuokratuottolaskuri'!$C$38),IF(Lyhennystapa="Bullet",D125,"")))</f>
        <v>23125.888189392052</v>
      </c>
      <c r="H126" s="15">
        <f t="shared" si="13"/>
        <v>330.14733185230682</v>
      </c>
      <c r="I126" s="15">
        <f>-PMT(('Edistynyt vuokratuottolaskuri'!$C$18/12),('Edistynyt vuokratuottolaskuri'!$C$19*12),('Edistynyt vuokratuottolaskuri'!$C$17),0,0)</f>
        <v>110.41614461107285</v>
      </c>
      <c r="J126" s="15">
        <f>I126-(H126*('Edistynyt vuokratuottolaskuri'!$C$18/12))</f>
        <v>109.86589905798567</v>
      </c>
      <c r="K126" s="15">
        <f t="shared" si="12"/>
        <v>220.28143279432115</v>
      </c>
      <c r="L126" s="15">
        <f t="shared" si="11"/>
        <v>23346.169622186371</v>
      </c>
      <c r="M126" s="15">
        <f>'Edistynyt vuokratuottolaskuri'!$C$6-K126-G126</f>
        <v>48653.830377813632</v>
      </c>
      <c r="N126" s="15">
        <f>$N$116+(('Edistynyt vuokratuottolaskuri'!$I$7+$N$116)*'Edistynyt vuokratuottolaskuri'!$C$9*(1-'Edistynyt vuokratuottolaskuri'!$C$41))</f>
        <v>0</v>
      </c>
      <c r="O126" s="15">
        <f>-'Edistynyt vuokratuottolaskuri'!$C$10*('Edistynyt vuokratuottolaskuri'!$I$7+N126-('Edistynyt vuokratuottolaskuri'!$I$17-(N126*Veroaste)))/12</f>
        <v>0</v>
      </c>
      <c r="P126" s="15">
        <f>P125+'Edistynyt vuokratuottolaskuri'!$I$19+N126+O126</f>
        <v>3692.2960780872027</v>
      </c>
      <c r="Q126" s="15">
        <f>IF(P125&gt;0,(P125*('Edistynyt vuokratuottolaskuri'!$F$7/12)),0)</f>
        <v>19.835891243969932</v>
      </c>
      <c r="R126" s="15"/>
      <c r="S126" s="15"/>
      <c r="T126" s="15"/>
      <c r="U126" s="15"/>
      <c r="V126" s="15">
        <f t="shared" si="14"/>
        <v>0</v>
      </c>
      <c r="W126" s="15">
        <f>W125+'Edistynyt vuokratuottolaskuri'!$I$19+Q126+N126</f>
        <v>4862.6136614814186</v>
      </c>
    </row>
    <row r="127" spans="1:23" x14ac:dyDescent="0.2">
      <c r="B127" s="2">
        <v>119</v>
      </c>
      <c r="C127" s="15">
        <f>C115+('Edistynyt vuokratuottolaskuri'!$C$52*C115)</f>
        <v>84213.765996695787</v>
      </c>
      <c r="D127" s="15">
        <f t="shared" si="15"/>
        <v>23125.888189392052</v>
      </c>
      <c r="E127" s="15">
        <f>-PMT(('Edistynyt vuokratuottolaskuri'!$C$33/12),('Edistynyt vuokratuottolaskuri'!$C$34*12),('Edistynyt vuokratuottolaskuri'!$C$29),0,0)</f>
        <v>209.63805404269655</v>
      </c>
      <c r="F127" s="15">
        <f>E127-(D127*('Edistynyt vuokratuottolaskuri'!$C$33/12))</f>
        <v>171.09490706037647</v>
      </c>
      <c r="G127" s="15">
        <f>IF(Lyhennystapa="Annuiteetti",(D127-F127),IF(Lyhennystapa="Tasalyhennys",(D127-'Edistynyt vuokratuottolaskuri'!$C$38),IF(Lyhennystapa="Bullet",D126,"")))</f>
        <v>22954.793282331677</v>
      </c>
      <c r="H127" s="15">
        <f t="shared" si="13"/>
        <v>220.28143279432115</v>
      </c>
      <c r="I127" s="15">
        <f>-PMT(('Edistynyt vuokratuottolaskuri'!$C$18/12),('Edistynyt vuokratuottolaskuri'!$C$19*12),('Edistynyt vuokratuottolaskuri'!$C$17),0,0)</f>
        <v>110.41614461107285</v>
      </c>
      <c r="J127" s="15">
        <f>I127-(H127*('Edistynyt vuokratuottolaskuri'!$C$18/12))</f>
        <v>110.04900888974899</v>
      </c>
      <c r="K127" s="15">
        <f t="shared" si="12"/>
        <v>110.23242390457216</v>
      </c>
      <c r="L127" s="15">
        <f t="shared" si="11"/>
        <v>23065.025706236251</v>
      </c>
      <c r="M127" s="15">
        <f>'Edistynyt vuokratuottolaskuri'!$C$6-K127-G127</f>
        <v>48934.974293763749</v>
      </c>
      <c r="N127" s="15">
        <f>$N$116+(('Edistynyt vuokratuottolaskuri'!$I$7+$N$116)*'Edistynyt vuokratuottolaskuri'!$C$9*(1-'Edistynyt vuokratuottolaskuri'!$C$41))</f>
        <v>0</v>
      </c>
      <c r="O127" s="15">
        <f>-'Edistynyt vuokratuottolaskuri'!$C$10*('Edistynyt vuokratuottolaskuri'!$I$7+N127-('Edistynyt vuokratuottolaskuri'!$I$17-(N127*Veroaste)))/12</f>
        <v>0</v>
      </c>
      <c r="P127" s="15">
        <f>P126+'Edistynyt vuokratuottolaskuri'!$I$19+N127+O127</f>
        <v>3723.5867228167554</v>
      </c>
      <c r="Q127" s="15">
        <f>IF(P126&gt;0,(P126*('Edistynyt vuokratuottolaskuri'!$F$7/12)),0)</f>
        <v>20.005428775969676</v>
      </c>
      <c r="R127" s="15"/>
      <c r="S127" s="15"/>
      <c r="T127" s="15"/>
      <c r="U127" s="15"/>
      <c r="V127" s="15">
        <f t="shared" si="14"/>
        <v>0</v>
      </c>
      <c r="W127" s="15">
        <f>W126+'Edistynyt vuokratuottolaskuri'!$I$19+Q127+N127</f>
        <v>4913.9097349869407</v>
      </c>
    </row>
    <row r="128" spans="1:23" x14ac:dyDescent="0.2">
      <c r="B128" s="2">
        <v>120</v>
      </c>
      <c r="C128" s="15">
        <f>C116+('Edistynyt vuokratuottolaskuri'!$C$52*C116)</f>
        <v>84213.765996695787</v>
      </c>
      <c r="D128" s="15">
        <f t="shared" si="15"/>
        <v>22954.793282331677</v>
      </c>
      <c r="E128" s="15">
        <f>-PMT(('Edistynyt vuokratuottolaskuri'!$C$33/12),('Edistynyt vuokratuottolaskuri'!$C$34*12),('Edistynyt vuokratuottolaskuri'!$C$29),0,0)</f>
        <v>209.63805404269655</v>
      </c>
      <c r="F128" s="15">
        <f>E128-(D128*('Edistynyt vuokratuottolaskuri'!$C$33/12))</f>
        <v>171.38006523881043</v>
      </c>
      <c r="G128" s="15">
        <f>IF(Lyhennystapa="Annuiteetti",(D128-F128),IF(Lyhennystapa="Tasalyhennys",(D128-'Edistynyt vuokratuottolaskuri'!$C$38),IF(Lyhennystapa="Bullet",D127,"")))</f>
        <v>22783.413217092868</v>
      </c>
      <c r="H128" s="15">
        <f t="shared" si="13"/>
        <v>110.23242390457216</v>
      </c>
      <c r="I128" s="15">
        <f>-PMT(('Edistynyt vuokratuottolaskuri'!$C$18/12),('Edistynyt vuokratuottolaskuri'!$C$19*12),('Edistynyt vuokratuottolaskuri'!$C$17),0,0)</f>
        <v>110.41614461107285</v>
      </c>
      <c r="J128" s="15">
        <f>I128-(H128*('Edistynyt vuokratuottolaskuri'!$C$18/12))</f>
        <v>110.23242390456524</v>
      </c>
      <c r="K128" s="15">
        <f t="shared" si="12"/>
        <v>6.9206862463033758E-12</v>
      </c>
      <c r="L128" s="15">
        <f t="shared" si="11"/>
        <v>22783.413217092875</v>
      </c>
      <c r="M128" s="15">
        <f>'Edistynyt vuokratuottolaskuri'!$C$6-K128-G128</f>
        <v>49216.586782907136</v>
      </c>
      <c r="N128" s="15">
        <f>$N$116+(('Edistynyt vuokratuottolaskuri'!$I$7+$N$116)*'Edistynyt vuokratuottolaskuri'!$C$9*(1-'Edistynyt vuokratuottolaskuri'!$C$41))</f>
        <v>0</v>
      </c>
      <c r="O128" s="15">
        <f>-'Edistynyt vuokratuottolaskuri'!$C$10*('Edistynyt vuokratuottolaskuri'!$I$7+N128-('Edistynyt vuokratuottolaskuri'!$I$17-(N128*Veroaste)))/12</f>
        <v>0</v>
      </c>
      <c r="P128" s="15">
        <f>P127+'Edistynyt vuokratuottolaskuri'!$I$19+N128+O128</f>
        <v>3754.8773675463081</v>
      </c>
      <c r="Q128" s="15">
        <f>IF(P127&gt;0,(P127*('Edistynyt vuokratuottolaskuri'!$F$7/12)),0)</f>
        <v>20.17496630796942</v>
      </c>
      <c r="R128" s="15"/>
      <c r="S128" s="15"/>
      <c r="T128" s="15"/>
      <c r="U128" s="15"/>
      <c r="V128" s="15">
        <f t="shared" si="14"/>
        <v>0</v>
      </c>
      <c r="W128" s="15">
        <f>W127+'Edistynyt vuokratuottolaskuri'!$I$19+Q128+N128</f>
        <v>4965.3753460244625</v>
      </c>
    </row>
    <row r="129" spans="1:23" x14ac:dyDescent="0.2">
      <c r="A129" s="2" t="s">
        <v>45</v>
      </c>
      <c r="B129" s="2">
        <v>121</v>
      </c>
      <c r="C129" s="15">
        <f>C117+('Edistynyt vuokratuottolaskuri'!$C$52*C117)</f>
        <v>85055.903656662747</v>
      </c>
      <c r="D129" s="15">
        <f t="shared" si="15"/>
        <v>22783.413217092868</v>
      </c>
      <c r="E129" s="15">
        <f>-PMT(('Edistynyt vuokratuottolaskuri'!$C$33/12),('Edistynyt vuokratuottolaskuri'!$C$34*12),('Edistynyt vuokratuottolaskuri'!$C$29),0,0)</f>
        <v>209.63805404269655</v>
      </c>
      <c r="F129" s="15">
        <f>E129-(D129*('Edistynyt vuokratuottolaskuri'!$C$33/12))</f>
        <v>171.6656986808751</v>
      </c>
      <c r="G129" s="15">
        <f>IF(Lyhennystapa="Annuiteetti",(D129-F129),IF(Lyhennystapa="Tasalyhennys",(D129-'Edistynyt vuokratuottolaskuri'!$C$38),IF(Lyhennystapa="Bullet",D128,"")))</f>
        <v>22611.747518411994</v>
      </c>
      <c r="H129" s="15">
        <f t="shared" si="13"/>
        <v>6.9206862463033758E-12</v>
      </c>
      <c r="I129" s="15">
        <f>-PMT(('Edistynyt vuokratuottolaskuri'!$C$18/12),('Edistynyt vuokratuottolaskuri'!$C$19*12),('Edistynyt vuokratuottolaskuri'!$C$17),0,0)</f>
        <v>110.41614461107285</v>
      </c>
      <c r="J129" s="15">
        <f>I129-(H129*('Edistynyt vuokratuottolaskuri'!$C$18/12))</f>
        <v>110.41614461107284</v>
      </c>
      <c r="K129" s="15">
        <f t="shared" si="12"/>
        <v>0</v>
      </c>
      <c r="L129" s="15">
        <f t="shared" si="11"/>
        <v>22611.747518411994</v>
      </c>
      <c r="M129" s="15">
        <f>'Edistynyt vuokratuottolaskuri'!$C$6-K129-G129</f>
        <v>49388.252481588002</v>
      </c>
      <c r="N129" s="15">
        <f>$N$128+(('Edistynyt vuokratuottolaskuri'!$I$7+$N$128)*'Edistynyt vuokratuottolaskuri'!$C$9*(1-'Edistynyt vuokratuottolaskuri'!$C$41))</f>
        <v>0</v>
      </c>
      <c r="O129" s="15">
        <f>-'Edistynyt vuokratuottolaskuri'!$C$10*('Edistynyt vuokratuottolaskuri'!$I$7+N129-('Edistynyt vuokratuottolaskuri'!$I$17-(N129*Veroaste)))/12</f>
        <v>0</v>
      </c>
      <c r="P129" s="15">
        <f>P128+'Edistynyt vuokratuottolaskuri'!$I$19+N129+O129</f>
        <v>3786.1680122758607</v>
      </c>
      <c r="Q129" s="15">
        <f>IF(P128&gt;0,(P128*('Edistynyt vuokratuottolaskuri'!$F$7/12)),0)</f>
        <v>20.344503839969164</v>
      </c>
      <c r="R129" s="15">
        <f>P128</f>
        <v>3754.8773675463081</v>
      </c>
      <c r="S129" s="15">
        <f>(IF(C129&gt;=$C$9,C129,$C$9))-L128-'Edistynyt vuokratuottolaskuri'!$C$28</f>
        <v>42272.490439569869</v>
      </c>
      <c r="T129" s="15">
        <f>R129+S129</f>
        <v>46027.367807116178</v>
      </c>
      <c r="U129" s="15">
        <f>(R117+(S117*'Edistynyt vuokratuottolaskuri'!$C$42)+U117)*0.1+U117</f>
        <v>21106.555104966872</v>
      </c>
      <c r="V129" s="15">
        <f>T129+U129</f>
        <v>67133.922912083042</v>
      </c>
      <c r="W129" s="15">
        <f>W128+'Edistynyt vuokratuottolaskuri'!$I$19+Q129+N129</f>
        <v>5017.0104945939847</v>
      </c>
    </row>
    <row r="130" spans="1:23" x14ac:dyDescent="0.2">
      <c r="B130" s="2">
        <v>122</v>
      </c>
      <c r="C130" s="15">
        <f>C118+('Edistynyt vuokratuottolaskuri'!$C$52*C118)</f>
        <v>85055.903656662747</v>
      </c>
      <c r="D130" s="15">
        <f t="shared" si="15"/>
        <v>22611.747518411994</v>
      </c>
      <c r="E130" s="15">
        <f>-PMT(('Edistynyt vuokratuottolaskuri'!$C$33/12),('Edistynyt vuokratuottolaskuri'!$C$34*12),('Edistynyt vuokratuottolaskuri'!$C$29),0,0)</f>
        <v>209.63805404269655</v>
      </c>
      <c r="F130" s="15">
        <f>E130-(D130*('Edistynyt vuokratuottolaskuri'!$C$33/12))</f>
        <v>171.95180817867657</v>
      </c>
      <c r="G130" s="15">
        <f>IF(Lyhennystapa="Annuiteetti",(D130-F130),IF(Lyhennystapa="Tasalyhennys",(D130-'Edistynyt vuokratuottolaskuri'!$C$38),IF(Lyhennystapa="Bullet",D129,"")))</f>
        <v>22439.795710233317</v>
      </c>
      <c r="H130" s="15">
        <f t="shared" si="13"/>
        <v>0</v>
      </c>
      <c r="I130" s="15">
        <f>-PMT(('Edistynyt vuokratuottolaskuri'!$C$18/12),('Edistynyt vuokratuottolaskuri'!$C$19*12),('Edistynyt vuokratuottolaskuri'!$C$17),0,0)</f>
        <v>110.41614461107285</v>
      </c>
      <c r="J130" s="15">
        <f>I130-(H130*('Edistynyt vuokratuottolaskuri'!$C$18/12))</f>
        <v>110.41614461107285</v>
      </c>
      <c r="K130" s="15">
        <f t="shared" si="12"/>
        <v>0</v>
      </c>
      <c r="L130" s="15">
        <f t="shared" si="11"/>
        <v>22439.795710233317</v>
      </c>
      <c r="M130" s="15">
        <f>'Edistynyt vuokratuottolaskuri'!$C$6-K130-G130</f>
        <v>49560.204289766683</v>
      </c>
      <c r="N130" s="15">
        <f>$N$128+(('Edistynyt vuokratuottolaskuri'!$I$7+$N$128)*'Edistynyt vuokratuottolaskuri'!$C$9*(1-'Edistynyt vuokratuottolaskuri'!$C$41))</f>
        <v>0</v>
      </c>
      <c r="O130" s="15">
        <f>-'Edistynyt vuokratuottolaskuri'!$C$10*('Edistynyt vuokratuottolaskuri'!$I$7+N130-('Edistynyt vuokratuottolaskuri'!$I$17-(N130*Veroaste)))/12</f>
        <v>0</v>
      </c>
      <c r="P130" s="15">
        <f>P129+'Edistynyt vuokratuottolaskuri'!$I$19+N130+O130</f>
        <v>3817.4586570054134</v>
      </c>
      <c r="Q130" s="15">
        <f>IF(P129&gt;0,(P129*('Edistynyt vuokratuottolaskuri'!$F$7/12)),0)</f>
        <v>20.514041371968908</v>
      </c>
      <c r="R130" s="15"/>
      <c r="S130" s="15"/>
      <c r="T130" s="15"/>
      <c r="U130" s="15"/>
      <c r="V130" s="15">
        <f t="shared" si="14"/>
        <v>0</v>
      </c>
      <c r="W130" s="15">
        <f>W129+'Edistynyt vuokratuottolaskuri'!$I$19+Q130+N130</f>
        <v>5068.8151806955066</v>
      </c>
    </row>
    <row r="131" spans="1:23" x14ac:dyDescent="0.2">
      <c r="B131" s="2">
        <v>123</v>
      </c>
      <c r="C131" s="15">
        <f>C119+('Edistynyt vuokratuottolaskuri'!$C$52*C119)</f>
        <v>85055.903656662747</v>
      </c>
      <c r="D131" s="15">
        <f t="shared" si="15"/>
        <v>22439.795710233317</v>
      </c>
      <c r="E131" s="15">
        <f>-PMT(('Edistynyt vuokratuottolaskuri'!$C$33/12),('Edistynyt vuokratuottolaskuri'!$C$34*12),('Edistynyt vuokratuottolaskuri'!$C$29),0,0)</f>
        <v>209.63805404269655</v>
      </c>
      <c r="F131" s="15">
        <f>E131-(D131*('Edistynyt vuokratuottolaskuri'!$C$33/12))</f>
        <v>172.23839452564101</v>
      </c>
      <c r="G131" s="15">
        <f>IF(Lyhennystapa="Annuiteetti",(D131-F131),IF(Lyhennystapa="Tasalyhennys",(D131-'Edistynyt vuokratuottolaskuri'!$C$38),IF(Lyhennystapa="Bullet",D130,"")))</f>
        <v>22267.557315707676</v>
      </c>
      <c r="H131" s="15">
        <f t="shared" si="13"/>
        <v>0</v>
      </c>
      <c r="I131" s="15">
        <f>-PMT(('Edistynyt vuokratuottolaskuri'!$C$18/12),('Edistynyt vuokratuottolaskuri'!$C$19*12),('Edistynyt vuokratuottolaskuri'!$C$17),0,0)</f>
        <v>110.41614461107285</v>
      </c>
      <c r="J131" s="15">
        <f>I131-(H131*('Edistynyt vuokratuottolaskuri'!$C$18/12))</f>
        <v>110.41614461107285</v>
      </c>
      <c r="K131" s="15">
        <f t="shared" si="12"/>
        <v>0</v>
      </c>
      <c r="L131" s="15">
        <f t="shared" si="11"/>
        <v>22267.557315707676</v>
      </c>
      <c r="M131" s="15">
        <f>'Edistynyt vuokratuottolaskuri'!$C$6-K131-G131</f>
        <v>49732.442684292328</v>
      </c>
      <c r="N131" s="15">
        <f>$N$128+(('Edistynyt vuokratuottolaskuri'!$I$7+$N$128)*'Edistynyt vuokratuottolaskuri'!$C$9*(1-'Edistynyt vuokratuottolaskuri'!$C$41))</f>
        <v>0</v>
      </c>
      <c r="O131" s="15">
        <f>-'Edistynyt vuokratuottolaskuri'!$C$10*('Edistynyt vuokratuottolaskuri'!$I$7+N131-('Edistynyt vuokratuottolaskuri'!$I$17-(N131*Veroaste)))/12</f>
        <v>0</v>
      </c>
      <c r="P131" s="15">
        <f>P130+'Edistynyt vuokratuottolaskuri'!$I$19+N131+O131</f>
        <v>3848.7493017349661</v>
      </c>
      <c r="Q131" s="15">
        <f>IF(P130&gt;0,(P130*('Edistynyt vuokratuottolaskuri'!$F$7/12)),0)</f>
        <v>20.683578903968652</v>
      </c>
      <c r="R131" s="15"/>
      <c r="S131" s="15"/>
      <c r="T131" s="15"/>
      <c r="U131" s="15"/>
      <c r="V131" s="15">
        <f t="shared" si="14"/>
        <v>0</v>
      </c>
      <c r="W131" s="15">
        <f>W130+'Edistynyt vuokratuottolaskuri'!$I$19+Q131+N131</f>
        <v>5120.789404329028</v>
      </c>
    </row>
    <row r="132" spans="1:23" x14ac:dyDescent="0.2">
      <c r="B132" s="2">
        <v>124</v>
      </c>
      <c r="C132" s="15">
        <f>C120+('Edistynyt vuokratuottolaskuri'!$C$52*C120)</f>
        <v>85055.903656662747</v>
      </c>
      <c r="D132" s="15">
        <f t="shared" si="15"/>
        <v>22267.557315707676</v>
      </c>
      <c r="E132" s="15">
        <f>-PMT(('Edistynyt vuokratuottolaskuri'!$C$33/12),('Edistynyt vuokratuottolaskuri'!$C$34*12),('Edistynyt vuokratuottolaskuri'!$C$29),0,0)</f>
        <v>209.63805404269655</v>
      </c>
      <c r="F132" s="15">
        <f>E132-(D132*('Edistynyt vuokratuottolaskuri'!$C$33/12))</f>
        <v>172.52545851651709</v>
      </c>
      <c r="G132" s="15">
        <f>IF(Lyhennystapa="Annuiteetti",(D132-F132),IF(Lyhennystapa="Tasalyhennys",(D132-'Edistynyt vuokratuottolaskuri'!$C$38),IF(Lyhennystapa="Bullet",D131,"")))</f>
        <v>22095.031857191159</v>
      </c>
      <c r="H132" s="15">
        <f t="shared" si="13"/>
        <v>0</v>
      </c>
      <c r="I132" s="15">
        <f>-PMT(('Edistynyt vuokratuottolaskuri'!$C$18/12),('Edistynyt vuokratuottolaskuri'!$C$19*12),('Edistynyt vuokratuottolaskuri'!$C$17),0,0)</f>
        <v>110.41614461107285</v>
      </c>
      <c r="J132" s="15">
        <f>I132-(H132*('Edistynyt vuokratuottolaskuri'!$C$18/12))</f>
        <v>110.41614461107285</v>
      </c>
      <c r="K132" s="15">
        <f t="shared" si="12"/>
        <v>0</v>
      </c>
      <c r="L132" s="15">
        <f t="shared" si="11"/>
        <v>22095.031857191159</v>
      </c>
      <c r="M132" s="15">
        <f>'Edistynyt vuokratuottolaskuri'!$C$6-K132-G132</f>
        <v>49904.968142808837</v>
      </c>
      <c r="N132" s="15">
        <f>$N$128+(('Edistynyt vuokratuottolaskuri'!$I$7+$N$128)*'Edistynyt vuokratuottolaskuri'!$C$9*(1-'Edistynyt vuokratuottolaskuri'!$C$41))</f>
        <v>0</v>
      </c>
      <c r="O132" s="15">
        <f>-'Edistynyt vuokratuottolaskuri'!$C$10*('Edistynyt vuokratuottolaskuri'!$I$7+N132-('Edistynyt vuokratuottolaskuri'!$I$17-(N132*Veroaste)))/12</f>
        <v>0</v>
      </c>
      <c r="P132" s="15">
        <f>P131+'Edistynyt vuokratuottolaskuri'!$I$19+N132+O132</f>
        <v>3880.0399464645188</v>
      </c>
      <c r="Q132" s="15">
        <f>IF(P131&gt;0,(P131*('Edistynyt vuokratuottolaskuri'!$F$7/12)),0)</f>
        <v>20.853116435968396</v>
      </c>
      <c r="R132" s="15"/>
      <c r="S132" s="15"/>
      <c r="T132" s="15"/>
      <c r="U132" s="15"/>
      <c r="V132" s="15">
        <f t="shared" si="14"/>
        <v>0</v>
      </c>
      <c r="W132" s="15">
        <f>W131+'Edistynyt vuokratuottolaskuri'!$I$19+Q132+N132</f>
        <v>5172.933165494549</v>
      </c>
    </row>
    <row r="133" spans="1:23" x14ac:dyDescent="0.2">
      <c r="B133" s="2">
        <v>125</v>
      </c>
      <c r="C133" s="15">
        <f>C121+('Edistynyt vuokratuottolaskuri'!$C$52*C121)</f>
        <v>85055.903656662747</v>
      </c>
      <c r="D133" s="15">
        <f t="shared" si="15"/>
        <v>22095.031857191159</v>
      </c>
      <c r="E133" s="15">
        <f>-PMT(('Edistynyt vuokratuottolaskuri'!$C$33/12),('Edistynyt vuokratuottolaskuri'!$C$34*12),('Edistynyt vuokratuottolaskuri'!$C$29),0,0)</f>
        <v>209.63805404269655</v>
      </c>
      <c r="F133" s="15">
        <f>E133-(D133*('Edistynyt vuokratuottolaskuri'!$C$33/12))</f>
        <v>172.81300094737796</v>
      </c>
      <c r="G133" s="15">
        <f>IF(Lyhennystapa="Annuiteetti",(D133-F133),IF(Lyhennystapa="Tasalyhennys",(D133-'Edistynyt vuokratuottolaskuri'!$C$38),IF(Lyhennystapa="Bullet",D132,"")))</f>
        <v>21922.21885624378</v>
      </c>
      <c r="H133" s="15">
        <f t="shared" si="13"/>
        <v>0</v>
      </c>
      <c r="I133" s="15">
        <f>-PMT(('Edistynyt vuokratuottolaskuri'!$C$18/12),('Edistynyt vuokratuottolaskuri'!$C$19*12),('Edistynyt vuokratuottolaskuri'!$C$17),0,0)</f>
        <v>110.41614461107285</v>
      </c>
      <c r="J133" s="15">
        <f>I133-(H133*('Edistynyt vuokratuottolaskuri'!$C$18/12))</f>
        <v>110.41614461107285</v>
      </c>
      <c r="K133" s="15">
        <f t="shared" si="12"/>
        <v>0</v>
      </c>
      <c r="L133" s="15">
        <f t="shared" si="11"/>
        <v>21922.21885624378</v>
      </c>
      <c r="M133" s="15">
        <f>'Edistynyt vuokratuottolaskuri'!$C$6-K133-G133</f>
        <v>50077.78114375622</v>
      </c>
      <c r="N133" s="15">
        <f>$N$128+(('Edistynyt vuokratuottolaskuri'!$I$7+$N$128)*'Edistynyt vuokratuottolaskuri'!$C$9*(1-'Edistynyt vuokratuottolaskuri'!$C$41))</f>
        <v>0</v>
      </c>
      <c r="O133" s="15">
        <f>-'Edistynyt vuokratuottolaskuri'!$C$10*('Edistynyt vuokratuottolaskuri'!$I$7+N133-('Edistynyt vuokratuottolaskuri'!$I$17-(N133*Veroaste)))/12</f>
        <v>0</v>
      </c>
      <c r="P133" s="15">
        <f>P132+'Edistynyt vuokratuottolaskuri'!$I$19+N133+O133</f>
        <v>3911.3305911940715</v>
      </c>
      <c r="Q133" s="15">
        <f>IF(P132&gt;0,(P132*('Edistynyt vuokratuottolaskuri'!$F$7/12)),0)</f>
        <v>21.022653967968139</v>
      </c>
      <c r="R133" s="15"/>
      <c r="S133" s="15"/>
      <c r="T133" s="15"/>
      <c r="U133" s="15"/>
      <c r="V133" s="15">
        <f t="shared" si="14"/>
        <v>0</v>
      </c>
      <c r="W133" s="15">
        <f>W132+'Edistynyt vuokratuottolaskuri'!$I$19+Q133+N133</f>
        <v>5225.2464641920697</v>
      </c>
    </row>
    <row r="134" spans="1:23" x14ac:dyDescent="0.2">
      <c r="B134" s="2">
        <v>126</v>
      </c>
      <c r="C134" s="15">
        <f>C122+('Edistynyt vuokratuottolaskuri'!$C$52*C122)</f>
        <v>85055.903656662747</v>
      </c>
      <c r="D134" s="15">
        <f t="shared" si="15"/>
        <v>21922.21885624378</v>
      </c>
      <c r="E134" s="15">
        <f>-PMT(('Edistynyt vuokratuottolaskuri'!$C$33/12),('Edistynyt vuokratuottolaskuri'!$C$34*12),('Edistynyt vuokratuottolaskuri'!$C$29),0,0)</f>
        <v>209.63805404269655</v>
      </c>
      <c r="F134" s="15">
        <f>E134-(D134*('Edistynyt vuokratuottolaskuri'!$C$33/12))</f>
        <v>173.10102261562358</v>
      </c>
      <c r="G134" s="15">
        <f>IF(Lyhennystapa="Annuiteetti",(D134-F134),IF(Lyhennystapa="Tasalyhennys",(D134-'Edistynyt vuokratuottolaskuri'!$C$38),IF(Lyhennystapa="Bullet",D133,"")))</f>
        <v>21749.117833628155</v>
      </c>
      <c r="H134" s="15">
        <f t="shared" si="13"/>
        <v>0</v>
      </c>
      <c r="I134" s="15">
        <f>-PMT(('Edistynyt vuokratuottolaskuri'!$C$18/12),('Edistynyt vuokratuottolaskuri'!$C$19*12),('Edistynyt vuokratuottolaskuri'!$C$17),0,0)</f>
        <v>110.41614461107285</v>
      </c>
      <c r="J134" s="15">
        <f>I134-(H134*('Edistynyt vuokratuottolaskuri'!$C$18/12))</f>
        <v>110.41614461107285</v>
      </c>
      <c r="K134" s="15">
        <f t="shared" si="12"/>
        <v>0</v>
      </c>
      <c r="L134" s="15">
        <f t="shared" si="11"/>
        <v>21749.117833628155</v>
      </c>
      <c r="M134" s="15">
        <f>'Edistynyt vuokratuottolaskuri'!$C$6-K134-G134</f>
        <v>50250.882166371841</v>
      </c>
      <c r="N134" s="15">
        <f>$N$128+(('Edistynyt vuokratuottolaskuri'!$I$7+$N$128)*'Edistynyt vuokratuottolaskuri'!$C$9*(1-'Edistynyt vuokratuottolaskuri'!$C$41))</f>
        <v>0</v>
      </c>
      <c r="O134" s="15">
        <f>-'Edistynyt vuokratuottolaskuri'!$C$10*('Edistynyt vuokratuottolaskuri'!$I$7+N134-('Edistynyt vuokratuottolaskuri'!$I$17-(N134*Veroaste)))/12</f>
        <v>0</v>
      </c>
      <c r="P134" s="15">
        <f>P133+'Edistynyt vuokratuottolaskuri'!$I$19+N134+O134</f>
        <v>3942.6212359236242</v>
      </c>
      <c r="Q134" s="15">
        <f>IF(P133&gt;0,(P133*('Edistynyt vuokratuottolaskuri'!$F$7/12)),0)</f>
        <v>21.192191499967883</v>
      </c>
      <c r="R134" s="15"/>
      <c r="S134" s="15"/>
      <c r="T134" s="15"/>
      <c r="U134" s="15"/>
      <c r="V134" s="15">
        <f t="shared" si="14"/>
        <v>0</v>
      </c>
      <c r="W134" s="15">
        <f>W133+'Edistynyt vuokratuottolaskuri'!$I$19+Q134+N134</f>
        <v>5277.7293004215899</v>
      </c>
    </row>
    <row r="135" spans="1:23" x14ac:dyDescent="0.2">
      <c r="B135" s="2">
        <v>127</v>
      </c>
      <c r="C135" s="15">
        <f>C123+('Edistynyt vuokratuottolaskuri'!$C$52*C123)</f>
        <v>85055.903656662747</v>
      </c>
      <c r="D135" s="15">
        <f t="shared" si="15"/>
        <v>21749.117833628155</v>
      </c>
      <c r="E135" s="15">
        <f>-PMT(('Edistynyt vuokratuottolaskuri'!$C$33/12),('Edistynyt vuokratuottolaskuri'!$C$34*12),('Edistynyt vuokratuottolaskuri'!$C$29),0,0)</f>
        <v>209.63805404269655</v>
      </c>
      <c r="F135" s="15">
        <f>E135-(D135*('Edistynyt vuokratuottolaskuri'!$C$33/12))</f>
        <v>173.38952431998297</v>
      </c>
      <c r="G135" s="15">
        <f>IF(Lyhennystapa="Annuiteetti",(D135-F135),IF(Lyhennystapa="Tasalyhennys",(D135-'Edistynyt vuokratuottolaskuri'!$C$38),IF(Lyhennystapa="Bullet",D134,"")))</f>
        <v>21575.728309308171</v>
      </c>
      <c r="H135" s="15">
        <f t="shared" si="13"/>
        <v>0</v>
      </c>
      <c r="I135" s="15">
        <f>-PMT(('Edistynyt vuokratuottolaskuri'!$C$18/12),('Edistynyt vuokratuottolaskuri'!$C$19*12),('Edistynyt vuokratuottolaskuri'!$C$17),0,0)</f>
        <v>110.41614461107285</v>
      </c>
      <c r="J135" s="15">
        <f>I135-(H135*('Edistynyt vuokratuottolaskuri'!$C$18/12))</f>
        <v>110.41614461107285</v>
      </c>
      <c r="K135" s="15">
        <f t="shared" si="12"/>
        <v>0</v>
      </c>
      <c r="L135" s="15">
        <f t="shared" si="11"/>
        <v>21575.728309308171</v>
      </c>
      <c r="M135" s="15">
        <f>'Edistynyt vuokratuottolaskuri'!$C$6-K135-G135</f>
        <v>50424.271690691829</v>
      </c>
      <c r="N135" s="15">
        <f>$N$128+(('Edistynyt vuokratuottolaskuri'!$I$7+$N$128)*'Edistynyt vuokratuottolaskuri'!$C$9*(1-'Edistynyt vuokratuottolaskuri'!$C$41))</f>
        <v>0</v>
      </c>
      <c r="O135" s="15">
        <f>-'Edistynyt vuokratuottolaskuri'!$C$10*('Edistynyt vuokratuottolaskuri'!$I$7+N135-('Edistynyt vuokratuottolaskuri'!$I$17-(N135*Veroaste)))/12</f>
        <v>0</v>
      </c>
      <c r="P135" s="15">
        <f>P134+'Edistynyt vuokratuottolaskuri'!$I$19+N135+O135</f>
        <v>3973.9118806531769</v>
      </c>
      <c r="Q135" s="15">
        <f>IF(P134&gt;0,(P134*('Edistynyt vuokratuottolaskuri'!$F$7/12)),0)</f>
        <v>21.361729031967624</v>
      </c>
      <c r="R135" s="15"/>
      <c r="S135" s="15"/>
      <c r="T135" s="15"/>
      <c r="U135" s="15"/>
      <c r="V135" s="15">
        <f t="shared" si="14"/>
        <v>0</v>
      </c>
      <c r="W135" s="15">
        <f>W134+'Edistynyt vuokratuottolaskuri'!$I$19+Q135+N135</f>
        <v>5330.3816741831106</v>
      </c>
    </row>
    <row r="136" spans="1:23" x14ac:dyDescent="0.2">
      <c r="B136" s="2">
        <v>128</v>
      </c>
      <c r="C136" s="15">
        <f>C124+('Edistynyt vuokratuottolaskuri'!$C$52*C124)</f>
        <v>85055.903656662747</v>
      </c>
      <c r="D136" s="15">
        <f t="shared" si="15"/>
        <v>21575.728309308171</v>
      </c>
      <c r="E136" s="15">
        <f>-PMT(('Edistynyt vuokratuottolaskuri'!$C$33/12),('Edistynyt vuokratuottolaskuri'!$C$34*12),('Edistynyt vuokratuottolaskuri'!$C$29),0,0)</f>
        <v>209.63805404269655</v>
      </c>
      <c r="F136" s="15">
        <f>E136-(D136*('Edistynyt vuokratuottolaskuri'!$C$33/12))</f>
        <v>173.67850686051628</v>
      </c>
      <c r="G136" s="15">
        <f>IF(Lyhennystapa="Annuiteetti",(D136-F136),IF(Lyhennystapa="Tasalyhennys",(D136-'Edistynyt vuokratuottolaskuri'!$C$38),IF(Lyhennystapa="Bullet",D135,"")))</f>
        <v>21402.049802447655</v>
      </c>
      <c r="H136" s="15">
        <f t="shared" si="13"/>
        <v>0</v>
      </c>
      <c r="I136" s="15">
        <f>-PMT(('Edistynyt vuokratuottolaskuri'!$C$18/12),('Edistynyt vuokratuottolaskuri'!$C$19*12),('Edistynyt vuokratuottolaskuri'!$C$17),0,0)</f>
        <v>110.41614461107285</v>
      </c>
      <c r="J136" s="15">
        <f>I136-(H136*('Edistynyt vuokratuottolaskuri'!$C$18/12))</f>
        <v>110.41614461107285</v>
      </c>
      <c r="K136" s="15">
        <f t="shared" si="12"/>
        <v>0</v>
      </c>
      <c r="L136" s="15">
        <f t="shared" si="11"/>
        <v>21402.049802447655</v>
      </c>
      <c r="M136" s="15">
        <f>'Edistynyt vuokratuottolaskuri'!$C$6-K136-G136</f>
        <v>50597.950197552345</v>
      </c>
      <c r="N136" s="15">
        <f>$N$128+(('Edistynyt vuokratuottolaskuri'!$I$7+$N$128)*'Edistynyt vuokratuottolaskuri'!$C$9*(1-'Edistynyt vuokratuottolaskuri'!$C$41))</f>
        <v>0</v>
      </c>
      <c r="O136" s="15">
        <f>-'Edistynyt vuokratuottolaskuri'!$C$10*('Edistynyt vuokratuottolaskuri'!$I$7+N136-('Edistynyt vuokratuottolaskuri'!$I$17-(N136*Veroaste)))/12</f>
        <v>0</v>
      </c>
      <c r="P136" s="15">
        <f>P135+'Edistynyt vuokratuottolaskuri'!$I$19+N136+O136</f>
        <v>4005.2025253827296</v>
      </c>
      <c r="Q136" s="15">
        <f>IF(P135&gt;0,(P135*('Edistynyt vuokratuottolaskuri'!$F$7/12)),0)</f>
        <v>21.531266563967367</v>
      </c>
      <c r="R136" s="15"/>
      <c r="S136" s="15"/>
      <c r="T136" s="15"/>
      <c r="U136" s="15"/>
      <c r="V136" s="15">
        <f t="shared" si="14"/>
        <v>0</v>
      </c>
      <c r="W136" s="15">
        <f>W135+'Edistynyt vuokratuottolaskuri'!$I$19+Q136+N136</f>
        <v>5383.2035854766309</v>
      </c>
    </row>
    <row r="137" spans="1:23" x14ac:dyDescent="0.2">
      <c r="B137" s="2">
        <v>129</v>
      </c>
      <c r="C137" s="15">
        <f>C125+('Edistynyt vuokratuottolaskuri'!$C$52*C125)</f>
        <v>85055.903656662747</v>
      </c>
      <c r="D137" s="15">
        <f t="shared" si="15"/>
        <v>21402.049802447655</v>
      </c>
      <c r="E137" s="15">
        <f>-PMT(('Edistynyt vuokratuottolaskuri'!$C$33/12),('Edistynyt vuokratuottolaskuri'!$C$34*12),('Edistynyt vuokratuottolaskuri'!$C$29),0,0)</f>
        <v>209.63805404269655</v>
      </c>
      <c r="F137" s="15">
        <f>E137-(D137*('Edistynyt vuokratuottolaskuri'!$C$33/12))</f>
        <v>173.96797103861712</v>
      </c>
      <c r="G137" s="15">
        <f>IF(Lyhennystapa="Annuiteetti",(D137-F137),IF(Lyhennystapa="Tasalyhennys",(D137-'Edistynyt vuokratuottolaskuri'!$C$38),IF(Lyhennystapa="Bullet",D136,"")))</f>
        <v>21228.081831409039</v>
      </c>
      <c r="H137" s="15">
        <f t="shared" si="13"/>
        <v>0</v>
      </c>
      <c r="I137" s="15">
        <f>-PMT(('Edistynyt vuokratuottolaskuri'!$C$18/12),('Edistynyt vuokratuottolaskuri'!$C$19*12),('Edistynyt vuokratuottolaskuri'!$C$17),0,0)</f>
        <v>110.41614461107285</v>
      </c>
      <c r="J137" s="15">
        <f>I137-(H137*('Edistynyt vuokratuottolaskuri'!$C$18/12))</f>
        <v>110.41614461107285</v>
      </c>
      <c r="K137" s="15">
        <f t="shared" si="12"/>
        <v>0</v>
      </c>
      <c r="L137" s="15">
        <f t="shared" si="11"/>
        <v>21228.081831409039</v>
      </c>
      <c r="M137" s="15">
        <f>'Edistynyt vuokratuottolaskuri'!$C$6-K137-G137</f>
        <v>50771.918168590957</v>
      </c>
      <c r="N137" s="15">
        <f>$N$128+(('Edistynyt vuokratuottolaskuri'!$I$7+$N$128)*'Edistynyt vuokratuottolaskuri'!$C$9*(1-'Edistynyt vuokratuottolaskuri'!$C$41))</f>
        <v>0</v>
      </c>
      <c r="O137" s="15">
        <f>-'Edistynyt vuokratuottolaskuri'!$C$10*('Edistynyt vuokratuottolaskuri'!$I$7+N137-('Edistynyt vuokratuottolaskuri'!$I$17-(N137*Veroaste)))/12</f>
        <v>0</v>
      </c>
      <c r="P137" s="15">
        <f>P136+'Edistynyt vuokratuottolaskuri'!$I$19+N137+O137</f>
        <v>4036.4931701122823</v>
      </c>
      <c r="Q137" s="15">
        <f>IF(P136&gt;0,(P136*('Edistynyt vuokratuottolaskuri'!$F$7/12)),0)</f>
        <v>21.700804095967111</v>
      </c>
      <c r="R137" s="15"/>
      <c r="S137" s="15"/>
      <c r="T137" s="15"/>
      <c r="U137" s="15"/>
      <c r="V137" s="15">
        <f t="shared" si="14"/>
        <v>0</v>
      </c>
      <c r="W137" s="15">
        <f>W136+'Edistynyt vuokratuottolaskuri'!$I$19+Q137+N137</f>
        <v>5436.1950343021508</v>
      </c>
    </row>
    <row r="138" spans="1:23" x14ac:dyDescent="0.2">
      <c r="B138" s="2">
        <v>130</v>
      </c>
      <c r="C138" s="15">
        <f>C126+('Edistynyt vuokratuottolaskuri'!$C$52*C126)</f>
        <v>85055.903656662747</v>
      </c>
      <c r="D138" s="15">
        <f t="shared" si="15"/>
        <v>21228.081831409039</v>
      </c>
      <c r="E138" s="15">
        <f>-PMT(('Edistynyt vuokratuottolaskuri'!$C$33/12),('Edistynyt vuokratuottolaskuri'!$C$34*12),('Edistynyt vuokratuottolaskuri'!$C$29),0,0)</f>
        <v>209.63805404269655</v>
      </c>
      <c r="F138" s="15">
        <f>E138-(D138*('Edistynyt vuokratuottolaskuri'!$C$33/12))</f>
        <v>174.25791765701481</v>
      </c>
      <c r="G138" s="15">
        <f>IF(Lyhennystapa="Annuiteetti",(D138-F138),IF(Lyhennystapa="Tasalyhennys",(D138-'Edistynyt vuokratuottolaskuri'!$C$38),IF(Lyhennystapa="Bullet",D137,"")))</f>
        <v>21053.823913752025</v>
      </c>
      <c r="H138" s="15">
        <f t="shared" si="13"/>
        <v>0</v>
      </c>
      <c r="I138" s="15">
        <f>-PMT(('Edistynyt vuokratuottolaskuri'!$C$18/12),('Edistynyt vuokratuottolaskuri'!$C$19*12),('Edistynyt vuokratuottolaskuri'!$C$17),0,0)</f>
        <v>110.41614461107285</v>
      </c>
      <c r="J138" s="15">
        <f>I138-(H138*('Edistynyt vuokratuottolaskuri'!$C$18/12))</f>
        <v>110.41614461107285</v>
      </c>
      <c r="K138" s="15">
        <f t="shared" si="12"/>
        <v>0</v>
      </c>
      <c r="L138" s="15">
        <f t="shared" ref="L138:L201" si="16">K138+G138</f>
        <v>21053.823913752025</v>
      </c>
      <c r="M138" s="15">
        <f>'Edistynyt vuokratuottolaskuri'!$C$6-K138-G138</f>
        <v>50946.176086247971</v>
      </c>
      <c r="N138" s="15">
        <f>$N$128+(('Edistynyt vuokratuottolaskuri'!$I$7+$N$128)*'Edistynyt vuokratuottolaskuri'!$C$9*(1-'Edistynyt vuokratuottolaskuri'!$C$41))</f>
        <v>0</v>
      </c>
      <c r="O138" s="15">
        <f>-'Edistynyt vuokratuottolaskuri'!$C$10*('Edistynyt vuokratuottolaskuri'!$I$7+N138-('Edistynyt vuokratuottolaskuri'!$I$17-(N138*Veroaste)))/12</f>
        <v>0</v>
      </c>
      <c r="P138" s="15">
        <f>P137+'Edistynyt vuokratuottolaskuri'!$I$19+N138+O138</f>
        <v>4067.783814841835</v>
      </c>
      <c r="Q138" s="15">
        <f>IF(P137&gt;0,(P137*('Edistynyt vuokratuottolaskuri'!$F$7/12)),0)</f>
        <v>21.870341627966855</v>
      </c>
      <c r="R138" s="15"/>
      <c r="S138" s="15"/>
      <c r="T138" s="15"/>
      <c r="U138" s="15"/>
      <c r="V138" s="15">
        <f t="shared" si="14"/>
        <v>0</v>
      </c>
      <c r="W138" s="15">
        <f>W137+'Edistynyt vuokratuottolaskuri'!$I$19+Q138+N138</f>
        <v>5489.3560206596703</v>
      </c>
    </row>
    <row r="139" spans="1:23" x14ac:dyDescent="0.2">
      <c r="B139" s="2">
        <v>131</v>
      </c>
      <c r="C139" s="15">
        <f>C127+('Edistynyt vuokratuottolaskuri'!$C$52*C127)</f>
        <v>85055.903656662747</v>
      </c>
      <c r="D139" s="15">
        <f t="shared" si="15"/>
        <v>21053.823913752025</v>
      </c>
      <c r="E139" s="15">
        <f>-PMT(('Edistynyt vuokratuottolaskuri'!$C$33/12),('Edistynyt vuokratuottolaskuri'!$C$34*12),('Edistynyt vuokratuottolaskuri'!$C$29),0,0)</f>
        <v>209.63805404269655</v>
      </c>
      <c r="F139" s="15">
        <f>E139-(D139*('Edistynyt vuokratuottolaskuri'!$C$33/12))</f>
        <v>174.54834751977651</v>
      </c>
      <c r="G139" s="15">
        <f>IF(Lyhennystapa="Annuiteetti",(D139-F139),IF(Lyhennystapa="Tasalyhennys",(D139-'Edistynyt vuokratuottolaskuri'!$C$38),IF(Lyhennystapa="Bullet",D138,"")))</f>
        <v>20879.275566232249</v>
      </c>
      <c r="H139" s="15">
        <f t="shared" si="13"/>
        <v>0</v>
      </c>
      <c r="I139" s="15">
        <f>-PMT(('Edistynyt vuokratuottolaskuri'!$C$18/12),('Edistynyt vuokratuottolaskuri'!$C$19*12),('Edistynyt vuokratuottolaskuri'!$C$17),0,0)</f>
        <v>110.41614461107285</v>
      </c>
      <c r="J139" s="15">
        <f>I139-(H139*('Edistynyt vuokratuottolaskuri'!$C$18/12))</f>
        <v>110.41614461107285</v>
      </c>
      <c r="K139" s="15">
        <f t="shared" ref="K139:K202" si="17">IF(K138&gt;0.01,H139-J139,0)</f>
        <v>0</v>
      </c>
      <c r="L139" s="15">
        <f t="shared" si="16"/>
        <v>20879.275566232249</v>
      </c>
      <c r="M139" s="15">
        <f>'Edistynyt vuokratuottolaskuri'!$C$6-K139-G139</f>
        <v>51120.724433767755</v>
      </c>
      <c r="N139" s="15">
        <f>$N$128+(('Edistynyt vuokratuottolaskuri'!$I$7+$N$128)*'Edistynyt vuokratuottolaskuri'!$C$9*(1-'Edistynyt vuokratuottolaskuri'!$C$41))</f>
        <v>0</v>
      </c>
      <c r="O139" s="15">
        <f>-'Edistynyt vuokratuottolaskuri'!$C$10*('Edistynyt vuokratuottolaskuri'!$I$7+N139-('Edistynyt vuokratuottolaskuri'!$I$17-(N139*Veroaste)))/12</f>
        <v>0</v>
      </c>
      <c r="P139" s="15">
        <f>P138+'Edistynyt vuokratuottolaskuri'!$I$19+N139+O139</f>
        <v>4099.0744595713877</v>
      </c>
      <c r="Q139" s="15">
        <f>IF(P138&gt;0,(P138*('Edistynyt vuokratuottolaskuri'!$F$7/12)),0)</f>
        <v>22.039879159966599</v>
      </c>
      <c r="R139" s="15"/>
      <c r="S139" s="15"/>
      <c r="T139" s="15"/>
      <c r="U139" s="15"/>
      <c r="V139" s="15">
        <f t="shared" si="14"/>
        <v>0</v>
      </c>
      <c r="W139" s="15">
        <f>W138+'Edistynyt vuokratuottolaskuri'!$I$19+Q139+N139</f>
        <v>5542.6865445491894</v>
      </c>
    </row>
    <row r="140" spans="1:23" x14ac:dyDescent="0.2">
      <c r="B140" s="2">
        <v>132</v>
      </c>
      <c r="C140" s="15">
        <f>C128+('Edistynyt vuokratuottolaskuri'!$C$52*C128)</f>
        <v>85055.903656662747</v>
      </c>
      <c r="D140" s="15">
        <f t="shared" si="15"/>
        <v>20879.275566232249</v>
      </c>
      <c r="E140" s="15">
        <f>-PMT(('Edistynyt vuokratuottolaskuri'!$C$33/12),('Edistynyt vuokratuottolaskuri'!$C$34*12),('Edistynyt vuokratuottolaskuri'!$C$29),0,0)</f>
        <v>209.63805404269655</v>
      </c>
      <c r="F140" s="15">
        <f>E140-(D140*('Edistynyt vuokratuottolaskuri'!$C$33/12))</f>
        <v>174.83926143230946</v>
      </c>
      <c r="G140" s="15">
        <f>IF(Lyhennystapa="Annuiteetti",(D140-F140),IF(Lyhennystapa="Tasalyhennys",(D140-'Edistynyt vuokratuottolaskuri'!$C$38),IF(Lyhennystapa="Bullet",D139,"")))</f>
        <v>20704.43630479994</v>
      </c>
      <c r="H140" s="15">
        <f t="shared" si="13"/>
        <v>0</v>
      </c>
      <c r="I140" s="15">
        <f>-PMT(('Edistynyt vuokratuottolaskuri'!$C$18/12),('Edistynyt vuokratuottolaskuri'!$C$19*12),('Edistynyt vuokratuottolaskuri'!$C$17),0,0)</f>
        <v>110.41614461107285</v>
      </c>
      <c r="J140" s="15">
        <f>I140-(H140*('Edistynyt vuokratuottolaskuri'!$C$18/12))</f>
        <v>110.41614461107285</v>
      </c>
      <c r="K140" s="15">
        <f t="shared" si="17"/>
        <v>0</v>
      </c>
      <c r="L140" s="15">
        <f t="shared" si="16"/>
        <v>20704.43630479994</v>
      </c>
      <c r="M140" s="15">
        <f>'Edistynyt vuokratuottolaskuri'!$C$6-K140-G140</f>
        <v>51295.563695200064</v>
      </c>
      <c r="N140" s="15">
        <f>$N$128+(('Edistynyt vuokratuottolaskuri'!$I$7+$N$128)*'Edistynyt vuokratuottolaskuri'!$C$9*(1-'Edistynyt vuokratuottolaskuri'!$C$41))</f>
        <v>0</v>
      </c>
      <c r="O140" s="15">
        <f>-'Edistynyt vuokratuottolaskuri'!$C$10*('Edistynyt vuokratuottolaskuri'!$I$7+N140-('Edistynyt vuokratuottolaskuri'!$I$17-(N140*Veroaste)))/12</f>
        <v>0</v>
      </c>
      <c r="P140" s="15">
        <f>P139+'Edistynyt vuokratuottolaskuri'!$I$19+N140+O140</f>
        <v>4130.3651043009404</v>
      </c>
      <c r="Q140" s="15">
        <f>IF(P139&gt;0,(P139*('Edistynyt vuokratuottolaskuri'!$F$7/12)),0)</f>
        <v>22.209416691966343</v>
      </c>
      <c r="R140" s="15"/>
      <c r="S140" s="15"/>
      <c r="T140" s="15"/>
      <c r="U140" s="15"/>
      <c r="V140" s="15">
        <f t="shared" si="14"/>
        <v>0</v>
      </c>
      <c r="W140" s="15">
        <f>W139+'Edistynyt vuokratuottolaskuri'!$I$19+Q140+N140</f>
        <v>5596.1866059707081</v>
      </c>
    </row>
    <row r="141" spans="1:23" x14ac:dyDescent="0.2">
      <c r="A141" s="2" t="s">
        <v>46</v>
      </c>
      <c r="B141" s="2">
        <v>133</v>
      </c>
      <c r="C141" s="15">
        <f>C129+('Edistynyt vuokratuottolaskuri'!$C$52*C129)</f>
        <v>85906.462693229376</v>
      </c>
      <c r="D141" s="15">
        <f t="shared" si="15"/>
        <v>20704.43630479994</v>
      </c>
      <c r="E141" s="15">
        <f>-PMT(('Edistynyt vuokratuottolaskuri'!$C$33/12),('Edistynyt vuokratuottolaskuri'!$C$34*12),('Edistynyt vuokratuottolaskuri'!$C$29),0,0)</f>
        <v>209.63805404269655</v>
      </c>
      <c r="F141" s="15">
        <f>E141-(D141*('Edistynyt vuokratuottolaskuri'!$C$33/12))</f>
        <v>175.13066020136333</v>
      </c>
      <c r="G141" s="15">
        <f>IF(Lyhennystapa="Annuiteetti",(D141-F141),IF(Lyhennystapa="Tasalyhennys",(D141-'Edistynyt vuokratuottolaskuri'!$C$38),IF(Lyhennystapa="Bullet",D140,"")))</f>
        <v>20529.305644598575</v>
      </c>
      <c r="H141" s="15">
        <f t="shared" si="13"/>
        <v>0</v>
      </c>
      <c r="I141" s="15">
        <f>-PMT(('Edistynyt vuokratuottolaskuri'!$C$18/12),('Edistynyt vuokratuottolaskuri'!$C$19*12),('Edistynyt vuokratuottolaskuri'!$C$17),0,0)</f>
        <v>110.41614461107285</v>
      </c>
      <c r="J141" s="15">
        <f>I141-(H141*('Edistynyt vuokratuottolaskuri'!$C$18/12))</f>
        <v>110.41614461107285</v>
      </c>
      <c r="K141" s="15">
        <f t="shared" si="17"/>
        <v>0</v>
      </c>
      <c r="L141" s="15">
        <f t="shared" si="16"/>
        <v>20529.305644598575</v>
      </c>
      <c r="M141" s="15">
        <f>'Edistynyt vuokratuottolaskuri'!$C$6-K141-G141</f>
        <v>51470.694355401429</v>
      </c>
      <c r="N141" s="15">
        <f>$N$140+(('Edistynyt vuokratuottolaskuri'!$I$7+$N$140)*'Edistynyt vuokratuottolaskuri'!$C$9*(1-'Edistynyt vuokratuottolaskuri'!$C$41))</f>
        <v>0</v>
      </c>
      <c r="O141" s="15">
        <f>-'Edistynyt vuokratuottolaskuri'!$C$10*('Edistynyt vuokratuottolaskuri'!$I$7+N141-('Edistynyt vuokratuottolaskuri'!$I$17-(N141*Veroaste)))/12</f>
        <v>0</v>
      </c>
      <c r="P141" s="15">
        <f>P140+'Edistynyt vuokratuottolaskuri'!$I$19+N141+O141</f>
        <v>4161.6557490304931</v>
      </c>
      <c r="Q141" s="15">
        <f>IF(P140&gt;0,(P140*('Edistynyt vuokratuottolaskuri'!$F$7/12)),0)</f>
        <v>22.378954223966087</v>
      </c>
      <c r="R141" s="15">
        <f>P140</f>
        <v>4130.3651043009404</v>
      </c>
      <c r="S141" s="15">
        <f>(IF(C141&gt;=$C$9,C141,$C$9))-L140-'Edistynyt vuokratuottolaskuri'!$C$28</f>
        <v>45202.02638842944</v>
      </c>
      <c r="T141" s="15">
        <f>R141+S141</f>
        <v>49332.391492730378</v>
      </c>
      <c r="U141" s="15">
        <f>(R129+(S129*'Edistynyt vuokratuottolaskuri'!$C$42)+U129)*0.1+U129</f>
        <v>26551.772682988081</v>
      </c>
      <c r="V141" s="15">
        <f>T141+U141</f>
        <v>75884.164175718455</v>
      </c>
      <c r="W141" s="15">
        <f>W140+'Edistynyt vuokratuottolaskuri'!$I$19+Q141+N141</f>
        <v>5649.8562049242273</v>
      </c>
    </row>
    <row r="142" spans="1:23" x14ac:dyDescent="0.2">
      <c r="B142" s="2">
        <v>134</v>
      </c>
      <c r="C142" s="15">
        <f>C130+('Edistynyt vuokratuottolaskuri'!$C$52*C130)</f>
        <v>85906.462693229376</v>
      </c>
      <c r="D142" s="15">
        <f t="shared" si="15"/>
        <v>20529.305644598575</v>
      </c>
      <c r="E142" s="15">
        <f>-PMT(('Edistynyt vuokratuottolaskuri'!$C$33/12),('Edistynyt vuokratuottolaskuri'!$C$34*12),('Edistynyt vuokratuottolaskuri'!$C$29),0,0)</f>
        <v>209.63805404269655</v>
      </c>
      <c r="F142" s="15">
        <f>E142-(D142*('Edistynyt vuokratuottolaskuri'!$C$33/12))</f>
        <v>175.42254463503227</v>
      </c>
      <c r="G142" s="15">
        <f>IF(Lyhennystapa="Annuiteetti",(D142-F142),IF(Lyhennystapa="Tasalyhennys",(D142-'Edistynyt vuokratuottolaskuri'!$C$38),IF(Lyhennystapa="Bullet",D141,"")))</f>
        <v>20353.883099963543</v>
      </c>
      <c r="H142" s="15">
        <f t="shared" si="13"/>
        <v>0</v>
      </c>
      <c r="I142" s="15">
        <f>-PMT(('Edistynyt vuokratuottolaskuri'!$C$18/12),('Edistynyt vuokratuottolaskuri'!$C$19*12),('Edistynyt vuokratuottolaskuri'!$C$17),0,0)</f>
        <v>110.41614461107285</v>
      </c>
      <c r="J142" s="15">
        <f>I142-(H142*('Edistynyt vuokratuottolaskuri'!$C$18/12))</f>
        <v>110.41614461107285</v>
      </c>
      <c r="K142" s="15">
        <f t="shared" si="17"/>
        <v>0</v>
      </c>
      <c r="L142" s="15">
        <f t="shared" si="16"/>
        <v>20353.883099963543</v>
      </c>
      <c r="M142" s="15">
        <f>'Edistynyt vuokratuottolaskuri'!$C$6-K142-G142</f>
        <v>51646.116900036461</v>
      </c>
      <c r="N142" s="15">
        <f>$N$140+(('Edistynyt vuokratuottolaskuri'!$I$7+$N$140)*'Edistynyt vuokratuottolaskuri'!$C$9*(1-'Edistynyt vuokratuottolaskuri'!$C$41))</f>
        <v>0</v>
      </c>
      <c r="O142" s="15">
        <f>-'Edistynyt vuokratuottolaskuri'!$C$10*('Edistynyt vuokratuottolaskuri'!$I$7+N142-('Edistynyt vuokratuottolaskuri'!$I$17-(N142*Veroaste)))/12</f>
        <v>0</v>
      </c>
      <c r="P142" s="15">
        <f>P141+'Edistynyt vuokratuottolaskuri'!$I$19+N142+O142</f>
        <v>4192.9463937600458</v>
      </c>
      <c r="Q142" s="15">
        <f>IF(P141&gt;0,(P141*('Edistynyt vuokratuottolaskuri'!$F$7/12)),0)</f>
        <v>22.548491755965831</v>
      </c>
      <c r="R142" s="15"/>
      <c r="S142" s="15"/>
      <c r="T142" s="15"/>
      <c r="U142" s="15"/>
      <c r="V142" s="15">
        <f t="shared" si="14"/>
        <v>0</v>
      </c>
      <c r="W142" s="15">
        <f>W141+'Edistynyt vuokratuottolaskuri'!$I$19+Q142+N142</f>
        <v>5703.6953414097461</v>
      </c>
    </row>
    <row r="143" spans="1:23" x14ac:dyDescent="0.2">
      <c r="B143" s="2">
        <v>135</v>
      </c>
      <c r="C143" s="15">
        <f>C131+('Edistynyt vuokratuottolaskuri'!$C$52*C131)</f>
        <v>85906.462693229376</v>
      </c>
      <c r="D143" s="15">
        <f t="shared" si="15"/>
        <v>20353.883099963543</v>
      </c>
      <c r="E143" s="15">
        <f>-PMT(('Edistynyt vuokratuottolaskuri'!$C$33/12),('Edistynyt vuokratuottolaskuri'!$C$34*12),('Edistynyt vuokratuottolaskuri'!$C$29),0,0)</f>
        <v>209.63805404269655</v>
      </c>
      <c r="F143" s="15">
        <f>E143-(D143*('Edistynyt vuokratuottolaskuri'!$C$33/12))</f>
        <v>175.7149155427573</v>
      </c>
      <c r="G143" s="15">
        <f>IF(Lyhennystapa="Annuiteetti",(D143-F143),IF(Lyhennystapa="Tasalyhennys",(D143-'Edistynyt vuokratuottolaskuri'!$C$38),IF(Lyhennystapa="Bullet",D142,"")))</f>
        <v>20178.168184420785</v>
      </c>
      <c r="H143" s="15">
        <f t="shared" si="13"/>
        <v>0</v>
      </c>
      <c r="I143" s="15">
        <f>-PMT(('Edistynyt vuokratuottolaskuri'!$C$18/12),('Edistynyt vuokratuottolaskuri'!$C$19*12),('Edistynyt vuokratuottolaskuri'!$C$17),0,0)</f>
        <v>110.41614461107285</v>
      </c>
      <c r="J143" s="15">
        <f>I143-(H143*('Edistynyt vuokratuottolaskuri'!$C$18/12))</f>
        <v>110.41614461107285</v>
      </c>
      <c r="K143" s="15">
        <f t="shared" si="17"/>
        <v>0</v>
      </c>
      <c r="L143" s="15">
        <f t="shared" si="16"/>
        <v>20178.168184420785</v>
      </c>
      <c r="M143" s="15">
        <f>'Edistynyt vuokratuottolaskuri'!$C$6-K143-G143</f>
        <v>51821.831815579215</v>
      </c>
      <c r="N143" s="15">
        <f>$N$140+(('Edistynyt vuokratuottolaskuri'!$I$7+$N$140)*'Edistynyt vuokratuottolaskuri'!$C$9*(1-'Edistynyt vuokratuottolaskuri'!$C$41))</f>
        <v>0</v>
      </c>
      <c r="O143" s="15">
        <f>-'Edistynyt vuokratuottolaskuri'!$C$10*('Edistynyt vuokratuottolaskuri'!$I$7+N143-('Edistynyt vuokratuottolaskuri'!$I$17-(N143*Veroaste)))/12</f>
        <v>0</v>
      </c>
      <c r="P143" s="15">
        <f>P142+'Edistynyt vuokratuottolaskuri'!$I$19+N143+O143</f>
        <v>4224.2370384895985</v>
      </c>
      <c r="Q143" s="15">
        <f>IF(P142&gt;0,(P142*('Edistynyt vuokratuottolaskuri'!$F$7/12)),0)</f>
        <v>22.718029287965575</v>
      </c>
      <c r="R143" s="15"/>
      <c r="S143" s="15"/>
      <c r="T143" s="15"/>
      <c r="U143" s="15"/>
      <c r="V143" s="15">
        <f t="shared" si="14"/>
        <v>0</v>
      </c>
      <c r="W143" s="15">
        <f>W142+'Edistynyt vuokratuottolaskuri'!$I$19+Q143+N143</f>
        <v>5757.7040154272645</v>
      </c>
    </row>
    <row r="144" spans="1:23" x14ac:dyDescent="0.2">
      <c r="B144" s="2">
        <v>136</v>
      </c>
      <c r="C144" s="15">
        <f>C132+('Edistynyt vuokratuottolaskuri'!$C$52*C132)</f>
        <v>85906.462693229376</v>
      </c>
      <c r="D144" s="15">
        <f t="shared" si="15"/>
        <v>20178.168184420785</v>
      </c>
      <c r="E144" s="15">
        <f>-PMT(('Edistynyt vuokratuottolaskuri'!$C$33/12),('Edistynyt vuokratuottolaskuri'!$C$34*12),('Edistynyt vuokratuottolaskuri'!$C$29),0,0)</f>
        <v>209.63805404269655</v>
      </c>
      <c r="F144" s="15">
        <f>E144-(D144*('Edistynyt vuokratuottolaskuri'!$C$33/12))</f>
        <v>176.00777373532858</v>
      </c>
      <c r="G144" s="15">
        <f>IF(Lyhennystapa="Annuiteetti",(D144-F144),IF(Lyhennystapa="Tasalyhennys",(D144-'Edistynyt vuokratuottolaskuri'!$C$38),IF(Lyhennystapa="Bullet",D143,"")))</f>
        <v>20002.160410685457</v>
      </c>
      <c r="H144" s="15">
        <f t="shared" si="13"/>
        <v>0</v>
      </c>
      <c r="I144" s="15">
        <f>-PMT(('Edistynyt vuokratuottolaskuri'!$C$18/12),('Edistynyt vuokratuottolaskuri'!$C$19*12),('Edistynyt vuokratuottolaskuri'!$C$17),0,0)</f>
        <v>110.41614461107285</v>
      </c>
      <c r="J144" s="15">
        <f>I144-(H144*('Edistynyt vuokratuottolaskuri'!$C$18/12))</f>
        <v>110.41614461107285</v>
      </c>
      <c r="K144" s="15">
        <f t="shared" si="17"/>
        <v>0</v>
      </c>
      <c r="L144" s="15">
        <f t="shared" si="16"/>
        <v>20002.160410685457</v>
      </c>
      <c r="M144" s="15">
        <f>'Edistynyt vuokratuottolaskuri'!$C$6-K144-G144</f>
        <v>51997.839589314543</v>
      </c>
      <c r="N144" s="15">
        <f>$N$140+(('Edistynyt vuokratuottolaskuri'!$I$7+$N$140)*'Edistynyt vuokratuottolaskuri'!$C$9*(1-'Edistynyt vuokratuottolaskuri'!$C$41))</f>
        <v>0</v>
      </c>
      <c r="O144" s="15">
        <f>-'Edistynyt vuokratuottolaskuri'!$C$10*('Edistynyt vuokratuottolaskuri'!$I$7+N144-('Edistynyt vuokratuottolaskuri'!$I$17-(N144*Veroaste)))/12</f>
        <v>0</v>
      </c>
      <c r="P144" s="15">
        <f>P143+'Edistynyt vuokratuottolaskuri'!$I$19+N144+O144</f>
        <v>4255.5276832191512</v>
      </c>
      <c r="Q144" s="15">
        <f>IF(P143&gt;0,(P143*('Edistynyt vuokratuottolaskuri'!$F$7/12)),0)</f>
        <v>22.887566819965318</v>
      </c>
      <c r="R144" s="15"/>
      <c r="S144" s="15"/>
      <c r="T144" s="15"/>
      <c r="U144" s="15"/>
      <c r="V144" s="15">
        <f t="shared" si="14"/>
        <v>0</v>
      </c>
      <c r="W144" s="15">
        <f>W143+'Edistynyt vuokratuottolaskuri'!$I$19+Q144+N144</f>
        <v>5811.8822269767825</v>
      </c>
    </row>
    <row r="145" spans="1:23" x14ac:dyDescent="0.2">
      <c r="B145" s="2">
        <v>137</v>
      </c>
      <c r="C145" s="15">
        <f>C133+('Edistynyt vuokratuottolaskuri'!$C$52*C133)</f>
        <v>85906.462693229376</v>
      </c>
      <c r="D145" s="15">
        <f t="shared" si="15"/>
        <v>20002.160410685457</v>
      </c>
      <c r="E145" s="15">
        <f>-PMT(('Edistynyt vuokratuottolaskuri'!$C$33/12),('Edistynyt vuokratuottolaskuri'!$C$34*12),('Edistynyt vuokratuottolaskuri'!$C$29),0,0)</f>
        <v>209.63805404269655</v>
      </c>
      <c r="F145" s="15">
        <f>E145-(D145*('Edistynyt vuokratuottolaskuri'!$C$33/12))</f>
        <v>176.30112002488744</v>
      </c>
      <c r="G145" s="15">
        <f>IF(Lyhennystapa="Annuiteetti",(D145-F145),IF(Lyhennystapa="Tasalyhennys",(D145-'Edistynyt vuokratuottolaskuri'!$C$38),IF(Lyhennystapa="Bullet",D144,"")))</f>
        <v>19825.85929066057</v>
      </c>
      <c r="H145" s="15">
        <f t="shared" si="13"/>
        <v>0</v>
      </c>
      <c r="I145" s="15">
        <f>-PMT(('Edistynyt vuokratuottolaskuri'!$C$18/12),('Edistynyt vuokratuottolaskuri'!$C$19*12),('Edistynyt vuokratuottolaskuri'!$C$17),0,0)</f>
        <v>110.41614461107285</v>
      </c>
      <c r="J145" s="15">
        <f>I145-(H145*('Edistynyt vuokratuottolaskuri'!$C$18/12))</f>
        <v>110.41614461107285</v>
      </c>
      <c r="K145" s="15">
        <f t="shared" si="17"/>
        <v>0</v>
      </c>
      <c r="L145" s="15">
        <f t="shared" si="16"/>
        <v>19825.85929066057</v>
      </c>
      <c r="M145" s="15">
        <f>'Edistynyt vuokratuottolaskuri'!$C$6-K145-G145</f>
        <v>52174.14070933943</v>
      </c>
      <c r="N145" s="15">
        <f>$N$140+(('Edistynyt vuokratuottolaskuri'!$I$7+$N$140)*'Edistynyt vuokratuottolaskuri'!$C$9*(1-'Edistynyt vuokratuottolaskuri'!$C$41))</f>
        <v>0</v>
      </c>
      <c r="O145" s="15">
        <f>-'Edistynyt vuokratuottolaskuri'!$C$10*('Edistynyt vuokratuottolaskuri'!$I$7+N145-('Edistynyt vuokratuottolaskuri'!$I$17-(N145*Veroaste)))/12</f>
        <v>0</v>
      </c>
      <c r="P145" s="15">
        <f>P144+'Edistynyt vuokratuottolaskuri'!$I$19+N145+O145</f>
        <v>4286.8183279487039</v>
      </c>
      <c r="Q145" s="15">
        <f>IF(P144&gt;0,(P144*('Edistynyt vuokratuottolaskuri'!$F$7/12)),0)</f>
        <v>23.057104351965062</v>
      </c>
      <c r="R145" s="15"/>
      <c r="S145" s="15"/>
      <c r="T145" s="15"/>
      <c r="U145" s="15"/>
      <c r="V145" s="15">
        <f t="shared" si="14"/>
        <v>0</v>
      </c>
      <c r="W145" s="15">
        <f>W144+'Edistynyt vuokratuottolaskuri'!$I$19+Q145+N145</f>
        <v>5866.2299760583001</v>
      </c>
    </row>
    <row r="146" spans="1:23" x14ac:dyDescent="0.2">
      <c r="B146" s="2">
        <v>138</v>
      </c>
      <c r="C146" s="15">
        <f>C134+('Edistynyt vuokratuottolaskuri'!$C$52*C134)</f>
        <v>85906.462693229376</v>
      </c>
      <c r="D146" s="15">
        <f t="shared" si="15"/>
        <v>19825.85929066057</v>
      </c>
      <c r="E146" s="15">
        <f>-PMT(('Edistynyt vuokratuottolaskuri'!$C$33/12),('Edistynyt vuokratuottolaskuri'!$C$34*12),('Edistynyt vuokratuottolaskuri'!$C$29),0,0)</f>
        <v>209.63805404269655</v>
      </c>
      <c r="F146" s="15">
        <f>E146-(D146*('Edistynyt vuokratuottolaskuri'!$C$33/12))</f>
        <v>176.59495522492892</v>
      </c>
      <c r="G146" s="15">
        <f>IF(Lyhennystapa="Annuiteetti",(D146-F146),IF(Lyhennystapa="Tasalyhennys",(D146-'Edistynyt vuokratuottolaskuri'!$C$38),IF(Lyhennystapa="Bullet",D145,"")))</f>
        <v>19649.264335435641</v>
      </c>
      <c r="H146" s="15">
        <f t="shared" ref="H146:H209" si="18">K145</f>
        <v>0</v>
      </c>
      <c r="I146" s="15">
        <f>-PMT(('Edistynyt vuokratuottolaskuri'!$C$18/12),('Edistynyt vuokratuottolaskuri'!$C$19*12),('Edistynyt vuokratuottolaskuri'!$C$17),0,0)</f>
        <v>110.41614461107285</v>
      </c>
      <c r="J146" s="15">
        <f>I146-(H146*('Edistynyt vuokratuottolaskuri'!$C$18/12))</f>
        <v>110.41614461107285</v>
      </c>
      <c r="K146" s="15">
        <f t="shared" si="17"/>
        <v>0</v>
      </c>
      <c r="L146" s="15">
        <f t="shared" si="16"/>
        <v>19649.264335435641</v>
      </c>
      <c r="M146" s="15">
        <f>'Edistynyt vuokratuottolaskuri'!$C$6-K146-G146</f>
        <v>52350.735664564359</v>
      </c>
      <c r="N146" s="15">
        <f>$N$140+(('Edistynyt vuokratuottolaskuri'!$I$7+$N$140)*'Edistynyt vuokratuottolaskuri'!$C$9*(1-'Edistynyt vuokratuottolaskuri'!$C$41))</f>
        <v>0</v>
      </c>
      <c r="O146" s="15">
        <f>-'Edistynyt vuokratuottolaskuri'!$C$10*('Edistynyt vuokratuottolaskuri'!$I$7+N146-('Edistynyt vuokratuottolaskuri'!$I$17-(N146*Veroaste)))/12</f>
        <v>0</v>
      </c>
      <c r="P146" s="15">
        <f>P145+'Edistynyt vuokratuottolaskuri'!$I$19+N146+O146</f>
        <v>4318.1089726782566</v>
      </c>
      <c r="Q146" s="15">
        <f>IF(P145&gt;0,(P145*('Edistynyt vuokratuottolaskuri'!$F$7/12)),0)</f>
        <v>23.226641883964806</v>
      </c>
      <c r="R146" s="15"/>
      <c r="S146" s="15"/>
      <c r="T146" s="15"/>
      <c r="U146" s="15"/>
      <c r="V146" s="15">
        <f t="shared" si="14"/>
        <v>0</v>
      </c>
      <c r="W146" s="15">
        <f>W145+'Edistynyt vuokratuottolaskuri'!$I$19+Q146+N146</f>
        <v>5920.7472626718172</v>
      </c>
    </row>
    <row r="147" spans="1:23" x14ac:dyDescent="0.2">
      <c r="B147" s="2">
        <v>139</v>
      </c>
      <c r="C147" s="15">
        <f>C135+('Edistynyt vuokratuottolaskuri'!$C$52*C135)</f>
        <v>85906.462693229376</v>
      </c>
      <c r="D147" s="15">
        <f t="shared" si="15"/>
        <v>19649.264335435641</v>
      </c>
      <c r="E147" s="15">
        <f>-PMT(('Edistynyt vuokratuottolaskuri'!$C$33/12),('Edistynyt vuokratuottolaskuri'!$C$34*12),('Edistynyt vuokratuottolaskuri'!$C$29),0,0)</f>
        <v>209.63805404269655</v>
      </c>
      <c r="F147" s="15">
        <f>E147-(D147*('Edistynyt vuokratuottolaskuri'!$C$33/12))</f>
        <v>176.88928015030382</v>
      </c>
      <c r="G147" s="15">
        <f>IF(Lyhennystapa="Annuiteetti",(D147-F147),IF(Lyhennystapa="Tasalyhennys",(D147-'Edistynyt vuokratuottolaskuri'!$C$38),IF(Lyhennystapa="Bullet",D146,"")))</f>
        <v>19472.375055285338</v>
      </c>
      <c r="H147" s="15">
        <f t="shared" si="18"/>
        <v>0</v>
      </c>
      <c r="I147" s="15">
        <f>-PMT(('Edistynyt vuokratuottolaskuri'!$C$18/12),('Edistynyt vuokratuottolaskuri'!$C$19*12),('Edistynyt vuokratuottolaskuri'!$C$17),0,0)</f>
        <v>110.41614461107285</v>
      </c>
      <c r="J147" s="15">
        <f>I147-(H147*('Edistynyt vuokratuottolaskuri'!$C$18/12))</f>
        <v>110.41614461107285</v>
      </c>
      <c r="K147" s="15">
        <f t="shared" si="17"/>
        <v>0</v>
      </c>
      <c r="L147" s="15">
        <f t="shared" si="16"/>
        <v>19472.375055285338</v>
      </c>
      <c r="M147" s="15">
        <f>'Edistynyt vuokratuottolaskuri'!$C$6-K147-G147</f>
        <v>52527.624944714662</v>
      </c>
      <c r="N147" s="15">
        <f>$N$140+(('Edistynyt vuokratuottolaskuri'!$I$7+$N$140)*'Edistynyt vuokratuottolaskuri'!$C$9*(1-'Edistynyt vuokratuottolaskuri'!$C$41))</f>
        <v>0</v>
      </c>
      <c r="O147" s="15">
        <f>-'Edistynyt vuokratuottolaskuri'!$C$10*('Edistynyt vuokratuottolaskuri'!$I$7+N147-('Edistynyt vuokratuottolaskuri'!$I$17-(N147*Veroaste)))/12</f>
        <v>0</v>
      </c>
      <c r="P147" s="15">
        <f>P146+'Edistynyt vuokratuottolaskuri'!$I$19+N147+O147</f>
        <v>4349.3996174078093</v>
      </c>
      <c r="Q147" s="15">
        <f>IF(P146&gt;0,(P146*('Edistynyt vuokratuottolaskuri'!$F$7/12)),0)</f>
        <v>23.39617941596455</v>
      </c>
      <c r="R147" s="15"/>
      <c r="S147" s="15"/>
      <c r="T147" s="15"/>
      <c r="U147" s="15"/>
      <c r="V147" s="15">
        <f t="shared" si="14"/>
        <v>0</v>
      </c>
      <c r="W147" s="15">
        <f>W146+'Edistynyt vuokratuottolaskuri'!$I$19+Q147+N147</f>
        <v>5975.4340868173349</v>
      </c>
    </row>
    <row r="148" spans="1:23" x14ac:dyDescent="0.2">
      <c r="B148" s="2">
        <v>140</v>
      </c>
      <c r="C148" s="15">
        <f>C136+('Edistynyt vuokratuottolaskuri'!$C$52*C136)</f>
        <v>85906.462693229376</v>
      </c>
      <c r="D148" s="15">
        <f t="shared" si="15"/>
        <v>19472.375055285338</v>
      </c>
      <c r="E148" s="15">
        <f>-PMT(('Edistynyt vuokratuottolaskuri'!$C$33/12),('Edistynyt vuokratuottolaskuri'!$C$34*12),('Edistynyt vuokratuottolaskuri'!$C$29),0,0)</f>
        <v>209.63805404269655</v>
      </c>
      <c r="F148" s="15">
        <f>E148-(D148*('Edistynyt vuokratuottolaskuri'!$C$33/12))</f>
        <v>177.18409561722098</v>
      </c>
      <c r="G148" s="15">
        <f>IF(Lyhennystapa="Annuiteetti",(D148-F148),IF(Lyhennystapa="Tasalyhennys",(D148-'Edistynyt vuokratuottolaskuri'!$C$38),IF(Lyhennystapa="Bullet",D147,"")))</f>
        <v>19295.190959668118</v>
      </c>
      <c r="H148" s="15">
        <f t="shared" si="18"/>
        <v>0</v>
      </c>
      <c r="I148" s="15">
        <f>-PMT(('Edistynyt vuokratuottolaskuri'!$C$18/12),('Edistynyt vuokratuottolaskuri'!$C$19*12),('Edistynyt vuokratuottolaskuri'!$C$17),0,0)</f>
        <v>110.41614461107285</v>
      </c>
      <c r="J148" s="15">
        <f>I148-(H148*('Edistynyt vuokratuottolaskuri'!$C$18/12))</f>
        <v>110.41614461107285</v>
      </c>
      <c r="K148" s="15">
        <f t="shared" si="17"/>
        <v>0</v>
      </c>
      <c r="L148" s="15">
        <f t="shared" si="16"/>
        <v>19295.190959668118</v>
      </c>
      <c r="M148" s="15">
        <f>'Edistynyt vuokratuottolaskuri'!$C$6-K148-G148</f>
        <v>52704.809040331878</v>
      </c>
      <c r="N148" s="15">
        <f>$N$140+(('Edistynyt vuokratuottolaskuri'!$I$7+$N$140)*'Edistynyt vuokratuottolaskuri'!$C$9*(1-'Edistynyt vuokratuottolaskuri'!$C$41))</f>
        <v>0</v>
      </c>
      <c r="O148" s="15">
        <f>-'Edistynyt vuokratuottolaskuri'!$C$10*('Edistynyt vuokratuottolaskuri'!$I$7+N148-('Edistynyt vuokratuottolaskuri'!$I$17-(N148*Veroaste)))/12</f>
        <v>0</v>
      </c>
      <c r="P148" s="15">
        <f>P147+'Edistynyt vuokratuottolaskuri'!$I$19+N148+O148</f>
        <v>4380.690262137362</v>
      </c>
      <c r="Q148" s="15">
        <f>IF(P147&gt;0,(P147*('Edistynyt vuokratuottolaskuri'!$F$7/12)),0)</f>
        <v>23.565716947964294</v>
      </c>
      <c r="R148" s="15"/>
      <c r="S148" s="15"/>
      <c r="T148" s="15"/>
      <c r="U148" s="15"/>
      <c r="V148" s="15">
        <f t="shared" si="14"/>
        <v>0</v>
      </c>
      <c r="W148" s="15">
        <f>W147+'Edistynyt vuokratuottolaskuri'!$I$19+Q148+N148</f>
        <v>6030.2904484948522</v>
      </c>
    </row>
    <row r="149" spans="1:23" x14ac:dyDescent="0.2">
      <c r="B149" s="2">
        <v>141</v>
      </c>
      <c r="C149" s="15">
        <f>C137+('Edistynyt vuokratuottolaskuri'!$C$52*C137)</f>
        <v>85906.462693229376</v>
      </c>
      <c r="D149" s="15">
        <f t="shared" si="15"/>
        <v>19295.190959668118</v>
      </c>
      <c r="E149" s="15">
        <f>-PMT(('Edistynyt vuokratuottolaskuri'!$C$33/12),('Edistynyt vuokratuottolaskuri'!$C$34*12),('Edistynyt vuokratuottolaskuri'!$C$29),0,0)</f>
        <v>209.63805404269655</v>
      </c>
      <c r="F149" s="15">
        <f>E149-(D149*('Edistynyt vuokratuottolaskuri'!$C$33/12))</f>
        <v>177.47940244324968</v>
      </c>
      <c r="G149" s="15">
        <f>IF(Lyhennystapa="Annuiteetti",(D149-F149),IF(Lyhennystapa="Tasalyhennys",(D149-'Edistynyt vuokratuottolaskuri'!$C$38),IF(Lyhennystapa="Bullet",D148,"")))</f>
        <v>19117.711557224869</v>
      </c>
      <c r="H149" s="15">
        <f t="shared" si="18"/>
        <v>0</v>
      </c>
      <c r="I149" s="15">
        <f>-PMT(('Edistynyt vuokratuottolaskuri'!$C$18/12),('Edistynyt vuokratuottolaskuri'!$C$19*12),('Edistynyt vuokratuottolaskuri'!$C$17),0,0)</f>
        <v>110.41614461107285</v>
      </c>
      <c r="J149" s="15">
        <f>I149-(H149*('Edistynyt vuokratuottolaskuri'!$C$18/12))</f>
        <v>110.41614461107285</v>
      </c>
      <c r="K149" s="15">
        <f t="shared" si="17"/>
        <v>0</v>
      </c>
      <c r="L149" s="15">
        <f t="shared" si="16"/>
        <v>19117.711557224869</v>
      </c>
      <c r="M149" s="15">
        <f>'Edistynyt vuokratuottolaskuri'!$C$6-K149-G149</f>
        <v>52882.288442775127</v>
      </c>
      <c r="N149" s="15">
        <f>$N$140+(('Edistynyt vuokratuottolaskuri'!$I$7+$N$140)*'Edistynyt vuokratuottolaskuri'!$C$9*(1-'Edistynyt vuokratuottolaskuri'!$C$41))</f>
        <v>0</v>
      </c>
      <c r="O149" s="15">
        <f>-'Edistynyt vuokratuottolaskuri'!$C$10*('Edistynyt vuokratuottolaskuri'!$I$7+N149-('Edistynyt vuokratuottolaskuri'!$I$17-(N149*Veroaste)))/12</f>
        <v>0</v>
      </c>
      <c r="P149" s="15">
        <f>P148+'Edistynyt vuokratuottolaskuri'!$I$19+N149+O149</f>
        <v>4411.9809068669147</v>
      </c>
      <c r="Q149" s="15">
        <f>IF(P148&gt;0,(P148*('Edistynyt vuokratuottolaskuri'!$F$7/12)),0)</f>
        <v>23.735254479964038</v>
      </c>
      <c r="R149" s="15"/>
      <c r="S149" s="15"/>
      <c r="T149" s="15"/>
      <c r="U149" s="15"/>
      <c r="V149" s="15">
        <f t="shared" si="14"/>
        <v>0</v>
      </c>
      <c r="W149" s="15">
        <f>W148+'Edistynyt vuokratuottolaskuri'!$I$19+Q149+N149</f>
        <v>6085.316347704369</v>
      </c>
    </row>
    <row r="150" spans="1:23" x14ac:dyDescent="0.2">
      <c r="B150" s="2">
        <v>142</v>
      </c>
      <c r="C150" s="15">
        <f>C138+('Edistynyt vuokratuottolaskuri'!$C$52*C138)</f>
        <v>85906.462693229376</v>
      </c>
      <c r="D150" s="15">
        <f t="shared" si="15"/>
        <v>19117.711557224869</v>
      </c>
      <c r="E150" s="15">
        <f>-PMT(('Edistynyt vuokratuottolaskuri'!$C$33/12),('Edistynyt vuokratuottolaskuri'!$C$34*12),('Edistynyt vuokratuottolaskuri'!$C$29),0,0)</f>
        <v>209.63805404269655</v>
      </c>
      <c r="F150" s="15">
        <f>E150-(D150*('Edistynyt vuokratuottolaskuri'!$C$33/12))</f>
        <v>177.77520144732176</v>
      </c>
      <c r="G150" s="15">
        <f>IF(Lyhennystapa="Annuiteetti",(D150-F150),IF(Lyhennystapa="Tasalyhennys",(D150-'Edistynyt vuokratuottolaskuri'!$C$38),IF(Lyhennystapa="Bullet",D149,"")))</f>
        <v>18939.936355777547</v>
      </c>
      <c r="H150" s="15">
        <f t="shared" si="18"/>
        <v>0</v>
      </c>
      <c r="I150" s="15">
        <f>-PMT(('Edistynyt vuokratuottolaskuri'!$C$18/12),('Edistynyt vuokratuottolaskuri'!$C$19*12),('Edistynyt vuokratuottolaskuri'!$C$17),0,0)</f>
        <v>110.41614461107285</v>
      </c>
      <c r="J150" s="15">
        <f>I150-(H150*('Edistynyt vuokratuottolaskuri'!$C$18/12))</f>
        <v>110.41614461107285</v>
      </c>
      <c r="K150" s="15">
        <f t="shared" si="17"/>
        <v>0</v>
      </c>
      <c r="L150" s="15">
        <f t="shared" si="16"/>
        <v>18939.936355777547</v>
      </c>
      <c r="M150" s="15">
        <f>'Edistynyt vuokratuottolaskuri'!$C$6-K150-G150</f>
        <v>53060.06364422245</v>
      </c>
      <c r="N150" s="15">
        <f>$N$140+(('Edistynyt vuokratuottolaskuri'!$I$7+$N$140)*'Edistynyt vuokratuottolaskuri'!$C$9*(1-'Edistynyt vuokratuottolaskuri'!$C$41))</f>
        <v>0</v>
      </c>
      <c r="O150" s="15">
        <f>-'Edistynyt vuokratuottolaskuri'!$C$10*('Edistynyt vuokratuottolaskuri'!$I$7+N150-('Edistynyt vuokratuottolaskuri'!$I$17-(N150*Veroaste)))/12</f>
        <v>0</v>
      </c>
      <c r="P150" s="15">
        <f>P149+'Edistynyt vuokratuottolaskuri'!$I$19+N150+O150</f>
        <v>4443.2715515964674</v>
      </c>
      <c r="Q150" s="15">
        <f>IF(P149&gt;0,(P149*('Edistynyt vuokratuottolaskuri'!$F$7/12)),0)</f>
        <v>23.904792011963782</v>
      </c>
      <c r="R150" s="15"/>
      <c r="S150" s="15"/>
      <c r="T150" s="15"/>
      <c r="U150" s="15"/>
      <c r="V150" s="15">
        <f t="shared" si="14"/>
        <v>0</v>
      </c>
      <c r="W150" s="15">
        <f>W149+'Edistynyt vuokratuottolaskuri'!$I$19+Q150+N150</f>
        <v>6140.5117844458855</v>
      </c>
    </row>
    <row r="151" spans="1:23" x14ac:dyDescent="0.2">
      <c r="B151" s="2">
        <v>143</v>
      </c>
      <c r="C151" s="15">
        <f>C139+('Edistynyt vuokratuottolaskuri'!$C$52*C139)</f>
        <v>85906.462693229376</v>
      </c>
      <c r="D151" s="15">
        <f t="shared" si="15"/>
        <v>18939.936355777547</v>
      </c>
      <c r="E151" s="15">
        <f>-PMT(('Edistynyt vuokratuottolaskuri'!$C$33/12),('Edistynyt vuokratuottolaskuri'!$C$34*12),('Edistynyt vuokratuottolaskuri'!$C$29),0,0)</f>
        <v>209.63805404269655</v>
      </c>
      <c r="F151" s="15">
        <f>E151-(D151*('Edistynyt vuokratuottolaskuri'!$C$33/12))</f>
        <v>178.07149344973396</v>
      </c>
      <c r="G151" s="15">
        <f>IF(Lyhennystapa="Annuiteetti",(D151-F151),IF(Lyhennystapa="Tasalyhennys",(D151-'Edistynyt vuokratuottolaskuri'!$C$38),IF(Lyhennystapa="Bullet",D150,"")))</f>
        <v>18761.864862327813</v>
      </c>
      <c r="H151" s="15">
        <f t="shared" si="18"/>
        <v>0</v>
      </c>
      <c r="I151" s="15">
        <f>-PMT(('Edistynyt vuokratuottolaskuri'!$C$18/12),('Edistynyt vuokratuottolaskuri'!$C$19*12),('Edistynyt vuokratuottolaskuri'!$C$17),0,0)</f>
        <v>110.41614461107285</v>
      </c>
      <c r="J151" s="15">
        <f>I151-(H151*('Edistynyt vuokratuottolaskuri'!$C$18/12))</f>
        <v>110.41614461107285</v>
      </c>
      <c r="K151" s="15">
        <f t="shared" si="17"/>
        <v>0</v>
      </c>
      <c r="L151" s="15">
        <f t="shared" si="16"/>
        <v>18761.864862327813</v>
      </c>
      <c r="M151" s="15">
        <f>'Edistynyt vuokratuottolaskuri'!$C$6-K151-G151</f>
        <v>53238.135137672187</v>
      </c>
      <c r="N151" s="15">
        <f>$N$140+(('Edistynyt vuokratuottolaskuri'!$I$7+$N$140)*'Edistynyt vuokratuottolaskuri'!$C$9*(1-'Edistynyt vuokratuottolaskuri'!$C$41))</f>
        <v>0</v>
      </c>
      <c r="O151" s="15">
        <f>-'Edistynyt vuokratuottolaskuri'!$C$10*('Edistynyt vuokratuottolaskuri'!$I$7+N151-('Edistynyt vuokratuottolaskuri'!$I$17-(N151*Veroaste)))/12</f>
        <v>0</v>
      </c>
      <c r="P151" s="15">
        <f>P150+'Edistynyt vuokratuottolaskuri'!$I$19+N151+O151</f>
        <v>4474.5621963260201</v>
      </c>
      <c r="Q151" s="15">
        <f>IF(P150&gt;0,(P150*('Edistynyt vuokratuottolaskuri'!$F$7/12)),0)</f>
        <v>24.074329543963525</v>
      </c>
      <c r="R151" s="15"/>
      <c r="S151" s="15"/>
      <c r="T151" s="15"/>
      <c r="U151" s="15"/>
      <c r="V151" s="15">
        <f t="shared" si="14"/>
        <v>0</v>
      </c>
      <c r="W151" s="15">
        <f>W150+'Edistynyt vuokratuottolaskuri'!$I$19+Q151+N151</f>
        <v>6195.8767587194016</v>
      </c>
    </row>
    <row r="152" spans="1:23" x14ac:dyDescent="0.2">
      <c r="B152" s="2">
        <v>144</v>
      </c>
      <c r="C152" s="15">
        <f>C140+('Edistynyt vuokratuottolaskuri'!$C$52*C140)</f>
        <v>85906.462693229376</v>
      </c>
      <c r="D152" s="15">
        <f t="shared" si="15"/>
        <v>18761.864862327813</v>
      </c>
      <c r="E152" s="15">
        <f>-PMT(('Edistynyt vuokratuottolaskuri'!$C$33/12),('Edistynyt vuokratuottolaskuri'!$C$34*12),('Edistynyt vuokratuottolaskuri'!$C$29),0,0)</f>
        <v>209.63805404269655</v>
      </c>
      <c r="F152" s="15">
        <f>E152-(D152*('Edistynyt vuokratuottolaskuri'!$C$33/12))</f>
        <v>178.3682792721502</v>
      </c>
      <c r="G152" s="15">
        <f>IF(Lyhennystapa="Annuiteetti",(D152-F152),IF(Lyhennystapa="Tasalyhennys",(D152-'Edistynyt vuokratuottolaskuri'!$C$38),IF(Lyhennystapa="Bullet",D151,"")))</f>
        <v>18583.496583055661</v>
      </c>
      <c r="H152" s="15">
        <f t="shared" si="18"/>
        <v>0</v>
      </c>
      <c r="I152" s="15">
        <f>-PMT(('Edistynyt vuokratuottolaskuri'!$C$18/12),('Edistynyt vuokratuottolaskuri'!$C$19*12),('Edistynyt vuokratuottolaskuri'!$C$17),0,0)</f>
        <v>110.41614461107285</v>
      </c>
      <c r="J152" s="15">
        <f>I152-(H152*('Edistynyt vuokratuottolaskuri'!$C$18/12))</f>
        <v>110.41614461107285</v>
      </c>
      <c r="K152" s="15">
        <f t="shared" si="17"/>
        <v>0</v>
      </c>
      <c r="L152" s="15">
        <f t="shared" si="16"/>
        <v>18583.496583055661</v>
      </c>
      <c r="M152" s="15">
        <f>'Edistynyt vuokratuottolaskuri'!$C$6-K152-G152</f>
        <v>53416.503416944339</v>
      </c>
      <c r="N152" s="15">
        <f>$N$140+(('Edistynyt vuokratuottolaskuri'!$I$7+$N$140)*'Edistynyt vuokratuottolaskuri'!$C$9*(1-'Edistynyt vuokratuottolaskuri'!$C$41))</f>
        <v>0</v>
      </c>
      <c r="O152" s="15">
        <f>-'Edistynyt vuokratuottolaskuri'!$C$10*('Edistynyt vuokratuottolaskuri'!$I$7+N152-('Edistynyt vuokratuottolaskuri'!$I$17-(N152*Veroaste)))/12</f>
        <v>0</v>
      </c>
      <c r="P152" s="15">
        <f>P151+'Edistynyt vuokratuottolaskuri'!$I$19+N152+O152</f>
        <v>4505.8528410555728</v>
      </c>
      <c r="Q152" s="15">
        <f>IF(P151&gt;0,(P151*('Edistynyt vuokratuottolaskuri'!$F$7/12)),0)</f>
        <v>24.243867075963269</v>
      </c>
      <c r="R152" s="15"/>
      <c r="S152" s="15"/>
      <c r="T152" s="15"/>
      <c r="U152" s="15"/>
      <c r="V152" s="15">
        <f t="shared" si="14"/>
        <v>0</v>
      </c>
      <c r="W152" s="15">
        <f>W151+'Edistynyt vuokratuottolaskuri'!$I$19+Q152+N152</f>
        <v>6251.4112705249172</v>
      </c>
    </row>
    <row r="153" spans="1:23" x14ac:dyDescent="0.2">
      <c r="A153" s="2" t="s">
        <v>47</v>
      </c>
      <c r="B153" s="2">
        <v>145</v>
      </c>
      <c r="C153" s="15">
        <f>C141+('Edistynyt vuokratuottolaskuri'!$C$52*C141)</f>
        <v>86765.527320161666</v>
      </c>
      <c r="D153" s="15">
        <f t="shared" si="15"/>
        <v>18583.496583055661</v>
      </c>
      <c r="E153" s="15">
        <f>-PMT(('Edistynyt vuokratuottolaskuri'!$C$33/12),('Edistynyt vuokratuottolaskuri'!$C$34*12),('Edistynyt vuokratuottolaskuri'!$C$29),0,0)</f>
        <v>209.63805404269655</v>
      </c>
      <c r="F153" s="15">
        <f>E153-(D153*('Edistynyt vuokratuottolaskuri'!$C$33/12))</f>
        <v>178.66555973760379</v>
      </c>
      <c r="G153" s="15">
        <f>IF(Lyhennystapa="Annuiteetti",(D153-F153),IF(Lyhennystapa="Tasalyhennys",(D153-'Edistynyt vuokratuottolaskuri'!$C$38),IF(Lyhennystapa="Bullet",D152,"")))</f>
        <v>18404.831023318056</v>
      </c>
      <c r="H153" s="15">
        <f t="shared" si="18"/>
        <v>0</v>
      </c>
      <c r="I153" s="15">
        <f>-PMT(('Edistynyt vuokratuottolaskuri'!$C$18/12),('Edistynyt vuokratuottolaskuri'!$C$19*12),('Edistynyt vuokratuottolaskuri'!$C$17),0,0)</f>
        <v>110.41614461107285</v>
      </c>
      <c r="J153" s="15">
        <f>I153-(H153*('Edistynyt vuokratuottolaskuri'!$C$18/12))</f>
        <v>110.41614461107285</v>
      </c>
      <c r="K153" s="15">
        <f t="shared" si="17"/>
        <v>0</v>
      </c>
      <c r="L153" s="15">
        <f t="shared" si="16"/>
        <v>18404.831023318056</v>
      </c>
      <c r="M153" s="15">
        <f>'Edistynyt vuokratuottolaskuri'!$C$6-K153-G153</f>
        <v>53595.168976681947</v>
      </c>
      <c r="N153" s="15">
        <f>$N$152+(('Edistynyt vuokratuottolaskuri'!$I$7+$N$152)*'Edistynyt vuokratuottolaskuri'!$C$9*(1-'Edistynyt vuokratuottolaskuri'!$C$41))</f>
        <v>0</v>
      </c>
      <c r="O153" s="15">
        <f>-'Edistynyt vuokratuottolaskuri'!$C$10*('Edistynyt vuokratuottolaskuri'!$I$7+N153-('Edistynyt vuokratuottolaskuri'!$I$17-(N153*Veroaste)))/12</f>
        <v>0</v>
      </c>
      <c r="P153" s="15">
        <f>P152+'Edistynyt vuokratuottolaskuri'!$I$19+N153+O153</f>
        <v>4537.1434857851254</v>
      </c>
      <c r="Q153" s="15">
        <f>IF(P152&gt;0,(P152*('Edistynyt vuokratuottolaskuri'!$F$7/12)),0)</f>
        <v>24.413404607963013</v>
      </c>
      <c r="R153" s="15">
        <f>P152</f>
        <v>4505.8528410555728</v>
      </c>
      <c r="S153" s="15">
        <f>(IF(C153&gt;=$C$9,C153,$C$9))-L152-'Edistynyt vuokratuottolaskuri'!$C$28</f>
        <v>48182.030737106004</v>
      </c>
      <c r="T153" s="15">
        <f>R153+S153</f>
        <v>52687.883578161578</v>
      </c>
      <c r="U153" s="15">
        <f>(R141+(S141*'Edistynyt vuokratuottolaskuri'!$C$42)+U141)*0.1+U141</f>
        <v>32784.128308907042</v>
      </c>
      <c r="V153" s="15">
        <f>T153+U153</f>
        <v>85472.011887068627</v>
      </c>
      <c r="W153" s="15">
        <f>W152+'Edistynyt vuokratuottolaskuri'!$I$19+Q153+N153</f>
        <v>6307.1153198624334</v>
      </c>
    </row>
    <row r="154" spans="1:23" x14ac:dyDescent="0.2">
      <c r="B154" s="2">
        <v>146</v>
      </c>
      <c r="C154" s="15">
        <f>C142+('Edistynyt vuokratuottolaskuri'!$C$52*C142)</f>
        <v>86765.527320161666</v>
      </c>
      <c r="D154" s="15">
        <f t="shared" si="15"/>
        <v>18404.831023318056</v>
      </c>
      <c r="E154" s="15">
        <f>-PMT(('Edistynyt vuokratuottolaskuri'!$C$33/12),('Edistynyt vuokratuottolaskuri'!$C$34*12),('Edistynyt vuokratuottolaskuri'!$C$29),0,0)</f>
        <v>209.63805404269655</v>
      </c>
      <c r="F154" s="15">
        <f>E154-(D154*('Edistynyt vuokratuottolaskuri'!$C$33/12))</f>
        <v>178.96333567049979</v>
      </c>
      <c r="G154" s="15">
        <f>IF(Lyhennystapa="Annuiteetti",(D154-F154),IF(Lyhennystapa="Tasalyhennys",(D154-'Edistynyt vuokratuottolaskuri'!$C$38),IF(Lyhennystapa="Bullet",D153,"")))</f>
        <v>18225.867687647558</v>
      </c>
      <c r="H154" s="15">
        <f t="shared" si="18"/>
        <v>0</v>
      </c>
      <c r="I154" s="15">
        <f>-PMT(('Edistynyt vuokratuottolaskuri'!$C$18/12),('Edistynyt vuokratuottolaskuri'!$C$19*12),('Edistynyt vuokratuottolaskuri'!$C$17),0,0)</f>
        <v>110.41614461107285</v>
      </c>
      <c r="J154" s="15">
        <f>I154-(H154*('Edistynyt vuokratuottolaskuri'!$C$18/12))</f>
        <v>110.41614461107285</v>
      </c>
      <c r="K154" s="15">
        <f t="shared" si="17"/>
        <v>0</v>
      </c>
      <c r="L154" s="15">
        <f t="shared" si="16"/>
        <v>18225.867687647558</v>
      </c>
      <c r="M154" s="15">
        <f>'Edistynyt vuokratuottolaskuri'!$C$6-K154-G154</f>
        <v>53774.132312352442</v>
      </c>
      <c r="N154" s="15">
        <f>$N$152+(('Edistynyt vuokratuottolaskuri'!$I$7+$N$152)*'Edistynyt vuokratuottolaskuri'!$C$9*(1-'Edistynyt vuokratuottolaskuri'!$C$41))</f>
        <v>0</v>
      </c>
      <c r="O154" s="15">
        <f>-'Edistynyt vuokratuottolaskuri'!$C$10*('Edistynyt vuokratuottolaskuri'!$I$7+N154-('Edistynyt vuokratuottolaskuri'!$I$17-(N154*Veroaste)))/12</f>
        <v>0</v>
      </c>
      <c r="P154" s="15">
        <f>P153+'Edistynyt vuokratuottolaskuri'!$I$19+N154+O154</f>
        <v>4568.4341305146781</v>
      </c>
      <c r="Q154" s="15">
        <f>IF(P153&gt;0,(P153*('Edistynyt vuokratuottolaskuri'!$F$7/12)),0)</f>
        <v>24.582942139962757</v>
      </c>
      <c r="R154" s="15"/>
      <c r="S154" s="15"/>
      <c r="T154" s="15"/>
      <c r="U154" s="15"/>
      <c r="V154" s="15">
        <f t="shared" si="14"/>
        <v>0</v>
      </c>
      <c r="W154" s="15">
        <f>W153+'Edistynyt vuokratuottolaskuri'!$I$19+Q154+N154</f>
        <v>6362.9889067319491</v>
      </c>
    </row>
    <row r="155" spans="1:23" x14ac:dyDescent="0.2">
      <c r="B155" s="2">
        <v>147</v>
      </c>
      <c r="C155" s="15">
        <f>C143+('Edistynyt vuokratuottolaskuri'!$C$52*C143)</f>
        <v>86765.527320161666</v>
      </c>
      <c r="D155" s="15">
        <f t="shared" si="15"/>
        <v>18225.867687647558</v>
      </c>
      <c r="E155" s="15">
        <f>-PMT(('Edistynyt vuokratuottolaskuri'!$C$33/12),('Edistynyt vuokratuottolaskuri'!$C$34*12),('Edistynyt vuokratuottolaskuri'!$C$29),0,0)</f>
        <v>209.63805404269655</v>
      </c>
      <c r="F155" s="15">
        <f>E155-(D155*('Edistynyt vuokratuottolaskuri'!$C$33/12))</f>
        <v>179.26160789661728</v>
      </c>
      <c r="G155" s="15">
        <f>IF(Lyhennystapa="Annuiteetti",(D155-F155),IF(Lyhennystapa="Tasalyhennys",(D155-'Edistynyt vuokratuottolaskuri'!$C$38),IF(Lyhennystapa="Bullet",D154,"")))</f>
        <v>18046.606079750942</v>
      </c>
      <c r="H155" s="15">
        <f t="shared" si="18"/>
        <v>0</v>
      </c>
      <c r="I155" s="15">
        <f>-PMT(('Edistynyt vuokratuottolaskuri'!$C$18/12),('Edistynyt vuokratuottolaskuri'!$C$19*12),('Edistynyt vuokratuottolaskuri'!$C$17),0,0)</f>
        <v>110.41614461107285</v>
      </c>
      <c r="J155" s="15">
        <f>I155-(H155*('Edistynyt vuokratuottolaskuri'!$C$18/12))</f>
        <v>110.41614461107285</v>
      </c>
      <c r="K155" s="15">
        <f t="shared" si="17"/>
        <v>0</v>
      </c>
      <c r="L155" s="15">
        <f t="shared" si="16"/>
        <v>18046.606079750942</v>
      </c>
      <c r="M155" s="15">
        <f>'Edistynyt vuokratuottolaskuri'!$C$6-K155-G155</f>
        <v>53953.393920249058</v>
      </c>
      <c r="N155" s="15">
        <f>$N$152+(('Edistynyt vuokratuottolaskuri'!$I$7+$N$152)*'Edistynyt vuokratuottolaskuri'!$C$9*(1-'Edistynyt vuokratuottolaskuri'!$C$41))</f>
        <v>0</v>
      </c>
      <c r="O155" s="15">
        <f>-'Edistynyt vuokratuottolaskuri'!$C$10*('Edistynyt vuokratuottolaskuri'!$I$7+N155-('Edistynyt vuokratuottolaskuri'!$I$17-(N155*Veroaste)))/12</f>
        <v>0</v>
      </c>
      <c r="P155" s="15">
        <f>P154+'Edistynyt vuokratuottolaskuri'!$I$19+N155+O155</f>
        <v>4599.7247752442308</v>
      </c>
      <c r="Q155" s="15">
        <f>IF(P154&gt;0,(P154*('Edistynyt vuokratuottolaskuri'!$F$7/12)),0)</f>
        <v>24.752479671962501</v>
      </c>
      <c r="R155" s="15"/>
      <c r="S155" s="15"/>
      <c r="T155" s="15"/>
      <c r="U155" s="15"/>
      <c r="V155" s="15">
        <f t="shared" si="14"/>
        <v>0</v>
      </c>
      <c r="W155" s="15">
        <f>W154+'Edistynyt vuokratuottolaskuri'!$I$19+Q155+N155</f>
        <v>6419.0320311334644</v>
      </c>
    </row>
    <row r="156" spans="1:23" x14ac:dyDescent="0.2">
      <c r="B156" s="2">
        <v>148</v>
      </c>
      <c r="C156" s="15">
        <f>C144+('Edistynyt vuokratuottolaskuri'!$C$52*C144)</f>
        <v>86765.527320161666</v>
      </c>
      <c r="D156" s="15">
        <f t="shared" si="15"/>
        <v>18046.606079750942</v>
      </c>
      <c r="E156" s="15">
        <f>-PMT(('Edistynyt vuokratuottolaskuri'!$C$33/12),('Edistynyt vuokratuottolaskuri'!$C$34*12),('Edistynyt vuokratuottolaskuri'!$C$29),0,0)</f>
        <v>209.63805404269655</v>
      </c>
      <c r="F156" s="15">
        <f>E156-(D156*('Edistynyt vuokratuottolaskuri'!$C$33/12))</f>
        <v>179.56037724311165</v>
      </c>
      <c r="G156" s="15">
        <f>IF(Lyhennystapa="Annuiteetti",(D156-F156),IF(Lyhennystapa="Tasalyhennys",(D156-'Edistynyt vuokratuottolaskuri'!$C$38),IF(Lyhennystapa="Bullet",D155,"")))</f>
        <v>17867.045702507829</v>
      </c>
      <c r="H156" s="15">
        <f t="shared" si="18"/>
        <v>0</v>
      </c>
      <c r="I156" s="15">
        <f>-PMT(('Edistynyt vuokratuottolaskuri'!$C$18/12),('Edistynyt vuokratuottolaskuri'!$C$19*12),('Edistynyt vuokratuottolaskuri'!$C$17),0,0)</f>
        <v>110.41614461107285</v>
      </c>
      <c r="J156" s="15">
        <f>I156-(H156*('Edistynyt vuokratuottolaskuri'!$C$18/12))</f>
        <v>110.41614461107285</v>
      </c>
      <c r="K156" s="15">
        <f t="shared" si="17"/>
        <v>0</v>
      </c>
      <c r="L156" s="15">
        <f t="shared" si="16"/>
        <v>17867.045702507829</v>
      </c>
      <c r="M156" s="15">
        <f>'Edistynyt vuokratuottolaskuri'!$C$6-K156-G156</f>
        <v>54132.954297492171</v>
      </c>
      <c r="N156" s="15">
        <f>$N$152+(('Edistynyt vuokratuottolaskuri'!$I$7+$N$152)*'Edistynyt vuokratuottolaskuri'!$C$9*(1-'Edistynyt vuokratuottolaskuri'!$C$41))</f>
        <v>0</v>
      </c>
      <c r="O156" s="15">
        <f>-'Edistynyt vuokratuottolaskuri'!$C$10*('Edistynyt vuokratuottolaskuri'!$I$7+N156-('Edistynyt vuokratuottolaskuri'!$I$17-(N156*Veroaste)))/12</f>
        <v>0</v>
      </c>
      <c r="P156" s="15">
        <f>P155+'Edistynyt vuokratuottolaskuri'!$I$19+N156+O156</f>
        <v>4631.0154199737835</v>
      </c>
      <c r="Q156" s="15">
        <f>IF(P155&gt;0,(P155*('Edistynyt vuokratuottolaskuri'!$F$7/12)),0)</f>
        <v>24.922017203962245</v>
      </c>
      <c r="R156" s="15"/>
      <c r="S156" s="15"/>
      <c r="T156" s="15"/>
      <c r="U156" s="15"/>
      <c r="V156" s="15">
        <f t="shared" si="14"/>
        <v>0</v>
      </c>
      <c r="W156" s="15">
        <f>W155+'Edistynyt vuokratuottolaskuri'!$I$19+Q156+N156</f>
        <v>6475.2446930669794</v>
      </c>
    </row>
    <row r="157" spans="1:23" x14ac:dyDescent="0.2">
      <c r="B157" s="2">
        <v>149</v>
      </c>
      <c r="C157" s="15">
        <f>C145+('Edistynyt vuokratuottolaskuri'!$C$52*C145)</f>
        <v>86765.527320161666</v>
      </c>
      <c r="D157" s="15">
        <f t="shared" si="15"/>
        <v>17867.045702507829</v>
      </c>
      <c r="E157" s="15">
        <f>-PMT(('Edistynyt vuokratuottolaskuri'!$C$33/12),('Edistynyt vuokratuottolaskuri'!$C$34*12),('Edistynyt vuokratuottolaskuri'!$C$29),0,0)</f>
        <v>209.63805404269655</v>
      </c>
      <c r="F157" s="15">
        <f>E157-(D157*('Edistynyt vuokratuottolaskuri'!$C$33/12))</f>
        <v>179.85964453851685</v>
      </c>
      <c r="G157" s="15">
        <f>IF(Lyhennystapa="Annuiteetti",(D157-F157),IF(Lyhennystapa="Tasalyhennys",(D157-'Edistynyt vuokratuottolaskuri'!$C$38),IF(Lyhennystapa="Bullet",D156,"")))</f>
        <v>17687.186057969313</v>
      </c>
      <c r="H157" s="15">
        <f t="shared" si="18"/>
        <v>0</v>
      </c>
      <c r="I157" s="15">
        <f>-PMT(('Edistynyt vuokratuottolaskuri'!$C$18/12),('Edistynyt vuokratuottolaskuri'!$C$19*12),('Edistynyt vuokratuottolaskuri'!$C$17),0,0)</f>
        <v>110.41614461107285</v>
      </c>
      <c r="J157" s="15">
        <f>I157-(H157*('Edistynyt vuokratuottolaskuri'!$C$18/12))</f>
        <v>110.41614461107285</v>
      </c>
      <c r="K157" s="15">
        <f t="shared" si="17"/>
        <v>0</v>
      </c>
      <c r="L157" s="15">
        <f t="shared" si="16"/>
        <v>17687.186057969313</v>
      </c>
      <c r="M157" s="15">
        <f>'Edistynyt vuokratuottolaskuri'!$C$6-K157-G157</f>
        <v>54312.813942030683</v>
      </c>
      <c r="N157" s="15">
        <f>$N$152+(('Edistynyt vuokratuottolaskuri'!$I$7+$N$152)*'Edistynyt vuokratuottolaskuri'!$C$9*(1-'Edistynyt vuokratuottolaskuri'!$C$41))</f>
        <v>0</v>
      </c>
      <c r="O157" s="15">
        <f>-'Edistynyt vuokratuottolaskuri'!$C$10*('Edistynyt vuokratuottolaskuri'!$I$7+N157-('Edistynyt vuokratuottolaskuri'!$I$17-(N157*Veroaste)))/12</f>
        <v>0</v>
      </c>
      <c r="P157" s="15">
        <f>P156+'Edistynyt vuokratuottolaskuri'!$I$19+N157+O157</f>
        <v>4662.3060647033362</v>
      </c>
      <c r="Q157" s="15">
        <f>IF(P156&gt;0,(P156*('Edistynyt vuokratuottolaskuri'!$F$7/12)),0)</f>
        <v>25.091554735961989</v>
      </c>
      <c r="R157" s="15"/>
      <c r="S157" s="15"/>
      <c r="T157" s="15"/>
      <c r="U157" s="15"/>
      <c r="V157" s="15">
        <f t="shared" si="14"/>
        <v>0</v>
      </c>
      <c r="W157" s="15">
        <f>W156+'Edistynyt vuokratuottolaskuri'!$I$19+Q157+N157</f>
        <v>6531.6268925324939</v>
      </c>
    </row>
    <row r="158" spans="1:23" x14ac:dyDescent="0.2">
      <c r="B158" s="2">
        <v>150</v>
      </c>
      <c r="C158" s="15">
        <f>C146+('Edistynyt vuokratuottolaskuri'!$C$52*C146)</f>
        <v>86765.527320161666</v>
      </c>
      <c r="D158" s="15">
        <f t="shared" si="15"/>
        <v>17687.186057969313</v>
      </c>
      <c r="E158" s="15">
        <f>-PMT(('Edistynyt vuokratuottolaskuri'!$C$33/12),('Edistynyt vuokratuottolaskuri'!$C$34*12),('Edistynyt vuokratuottolaskuri'!$C$29),0,0)</f>
        <v>209.63805404269655</v>
      </c>
      <c r="F158" s="15">
        <f>E158-(D158*('Edistynyt vuokratuottolaskuri'!$C$33/12))</f>
        <v>180.15941061274771</v>
      </c>
      <c r="G158" s="15">
        <f>IF(Lyhennystapa="Annuiteetti",(D158-F158),IF(Lyhennystapa="Tasalyhennys",(D158-'Edistynyt vuokratuottolaskuri'!$C$38),IF(Lyhennystapa="Bullet",D157,"")))</f>
        <v>17507.026647356564</v>
      </c>
      <c r="H158" s="15">
        <f t="shared" si="18"/>
        <v>0</v>
      </c>
      <c r="I158" s="15">
        <f>-PMT(('Edistynyt vuokratuottolaskuri'!$C$18/12),('Edistynyt vuokratuottolaskuri'!$C$19*12),('Edistynyt vuokratuottolaskuri'!$C$17),0,0)</f>
        <v>110.41614461107285</v>
      </c>
      <c r="J158" s="15">
        <f>I158-(H158*('Edistynyt vuokratuottolaskuri'!$C$18/12))</f>
        <v>110.41614461107285</v>
      </c>
      <c r="K158" s="15">
        <f t="shared" si="17"/>
        <v>0</v>
      </c>
      <c r="L158" s="15">
        <f t="shared" si="16"/>
        <v>17507.026647356564</v>
      </c>
      <c r="M158" s="15">
        <f>'Edistynyt vuokratuottolaskuri'!$C$6-K158-G158</f>
        <v>54492.973352643436</v>
      </c>
      <c r="N158" s="15">
        <f>$N$152+(('Edistynyt vuokratuottolaskuri'!$I$7+$N$152)*'Edistynyt vuokratuottolaskuri'!$C$9*(1-'Edistynyt vuokratuottolaskuri'!$C$41))</f>
        <v>0</v>
      </c>
      <c r="O158" s="15">
        <f>-'Edistynyt vuokratuottolaskuri'!$C$10*('Edistynyt vuokratuottolaskuri'!$I$7+N158-('Edistynyt vuokratuottolaskuri'!$I$17-(N158*Veroaste)))/12</f>
        <v>0</v>
      </c>
      <c r="P158" s="15">
        <f>P157+'Edistynyt vuokratuottolaskuri'!$I$19+N158+O158</f>
        <v>4693.5967094328889</v>
      </c>
      <c r="Q158" s="15">
        <f>IF(P157&gt;0,(P157*('Edistynyt vuokratuottolaskuri'!$F$7/12)),0)</f>
        <v>25.261092267961732</v>
      </c>
      <c r="R158" s="15"/>
      <c r="S158" s="15"/>
      <c r="T158" s="15"/>
      <c r="U158" s="15"/>
      <c r="V158" s="15">
        <f t="shared" si="14"/>
        <v>0</v>
      </c>
      <c r="W158" s="15">
        <f>W157+'Edistynyt vuokratuottolaskuri'!$I$19+Q158+N158</f>
        <v>6588.178629530008</v>
      </c>
    </row>
    <row r="159" spans="1:23" x14ac:dyDescent="0.2">
      <c r="B159" s="2">
        <v>151</v>
      </c>
      <c r="C159" s="15">
        <f>C147+('Edistynyt vuokratuottolaskuri'!$C$52*C147)</f>
        <v>86765.527320161666</v>
      </c>
      <c r="D159" s="15">
        <f t="shared" si="15"/>
        <v>17507.026647356564</v>
      </c>
      <c r="E159" s="15">
        <f>-PMT(('Edistynyt vuokratuottolaskuri'!$C$33/12),('Edistynyt vuokratuottolaskuri'!$C$34*12),('Edistynyt vuokratuottolaskuri'!$C$29),0,0)</f>
        <v>209.63805404269655</v>
      </c>
      <c r="F159" s="15">
        <f>E159-(D159*('Edistynyt vuokratuottolaskuri'!$C$33/12))</f>
        <v>180.45967629710228</v>
      </c>
      <c r="G159" s="15">
        <f>IF(Lyhennystapa="Annuiteetti",(D159-F159),IF(Lyhennystapa="Tasalyhennys",(D159-'Edistynyt vuokratuottolaskuri'!$C$38),IF(Lyhennystapa="Bullet",D158,"")))</f>
        <v>17326.566971059463</v>
      </c>
      <c r="H159" s="15">
        <f t="shared" si="18"/>
        <v>0</v>
      </c>
      <c r="I159" s="15">
        <f>-PMT(('Edistynyt vuokratuottolaskuri'!$C$18/12),('Edistynyt vuokratuottolaskuri'!$C$19*12),('Edistynyt vuokratuottolaskuri'!$C$17),0,0)</f>
        <v>110.41614461107285</v>
      </c>
      <c r="J159" s="15">
        <f>I159-(H159*('Edistynyt vuokratuottolaskuri'!$C$18/12))</f>
        <v>110.41614461107285</v>
      </c>
      <c r="K159" s="15">
        <f t="shared" si="17"/>
        <v>0</v>
      </c>
      <c r="L159" s="15">
        <f t="shared" si="16"/>
        <v>17326.566971059463</v>
      </c>
      <c r="M159" s="15">
        <f>'Edistynyt vuokratuottolaskuri'!$C$6-K159-G159</f>
        <v>54673.433028940533</v>
      </c>
      <c r="N159" s="15">
        <f>$N$152+(('Edistynyt vuokratuottolaskuri'!$I$7+$N$152)*'Edistynyt vuokratuottolaskuri'!$C$9*(1-'Edistynyt vuokratuottolaskuri'!$C$41))</f>
        <v>0</v>
      </c>
      <c r="O159" s="15">
        <f>-'Edistynyt vuokratuottolaskuri'!$C$10*('Edistynyt vuokratuottolaskuri'!$I$7+N159-('Edistynyt vuokratuottolaskuri'!$I$17-(N159*Veroaste)))/12</f>
        <v>0</v>
      </c>
      <c r="P159" s="15">
        <f>P158+'Edistynyt vuokratuottolaskuri'!$I$19+N159+O159</f>
        <v>4724.8873541624416</v>
      </c>
      <c r="Q159" s="15">
        <f>IF(P158&gt;0,(P158*('Edistynyt vuokratuottolaskuri'!$F$7/12)),0)</f>
        <v>25.430629799961476</v>
      </c>
      <c r="R159" s="15"/>
      <c r="S159" s="15"/>
      <c r="T159" s="15"/>
      <c r="U159" s="15"/>
      <c r="V159" s="15">
        <f t="shared" si="14"/>
        <v>0</v>
      </c>
      <c r="W159" s="15">
        <f>W158+'Edistynyt vuokratuottolaskuri'!$I$19+Q159+N159</f>
        <v>6644.8999040595218</v>
      </c>
    </row>
    <row r="160" spans="1:23" x14ac:dyDescent="0.2">
      <c r="B160" s="2">
        <v>152</v>
      </c>
      <c r="C160" s="15">
        <f>C148+('Edistynyt vuokratuottolaskuri'!$C$52*C148)</f>
        <v>86765.527320161666</v>
      </c>
      <c r="D160" s="15">
        <f t="shared" si="15"/>
        <v>17326.566971059463</v>
      </c>
      <c r="E160" s="15">
        <f>-PMT(('Edistynyt vuokratuottolaskuri'!$C$33/12),('Edistynyt vuokratuottolaskuri'!$C$34*12),('Edistynyt vuokratuottolaskuri'!$C$29),0,0)</f>
        <v>209.63805404269655</v>
      </c>
      <c r="F160" s="15">
        <f>E160-(D160*('Edistynyt vuokratuottolaskuri'!$C$33/12))</f>
        <v>180.76044242426411</v>
      </c>
      <c r="G160" s="15">
        <f>IF(Lyhennystapa="Annuiteetti",(D160-F160),IF(Lyhennystapa="Tasalyhennys",(D160-'Edistynyt vuokratuottolaskuri'!$C$38),IF(Lyhennystapa="Bullet",D159,"")))</f>
        <v>17145.806528635199</v>
      </c>
      <c r="H160" s="15">
        <f t="shared" si="18"/>
        <v>0</v>
      </c>
      <c r="I160" s="15">
        <f>-PMT(('Edistynyt vuokratuottolaskuri'!$C$18/12),('Edistynyt vuokratuottolaskuri'!$C$19*12),('Edistynyt vuokratuottolaskuri'!$C$17),0,0)</f>
        <v>110.41614461107285</v>
      </c>
      <c r="J160" s="15">
        <f>I160-(H160*('Edistynyt vuokratuottolaskuri'!$C$18/12))</f>
        <v>110.41614461107285</v>
      </c>
      <c r="K160" s="15">
        <f t="shared" si="17"/>
        <v>0</v>
      </c>
      <c r="L160" s="15">
        <f t="shared" si="16"/>
        <v>17145.806528635199</v>
      </c>
      <c r="M160" s="15">
        <f>'Edistynyt vuokratuottolaskuri'!$C$6-K160-G160</f>
        <v>54854.193471364801</v>
      </c>
      <c r="N160" s="15">
        <f>$N$152+(('Edistynyt vuokratuottolaskuri'!$I$7+$N$152)*'Edistynyt vuokratuottolaskuri'!$C$9*(1-'Edistynyt vuokratuottolaskuri'!$C$41))</f>
        <v>0</v>
      </c>
      <c r="O160" s="15">
        <f>-'Edistynyt vuokratuottolaskuri'!$C$10*('Edistynyt vuokratuottolaskuri'!$I$7+N160-('Edistynyt vuokratuottolaskuri'!$I$17-(N160*Veroaste)))/12</f>
        <v>0</v>
      </c>
      <c r="P160" s="15">
        <f>P159+'Edistynyt vuokratuottolaskuri'!$I$19+N160+O160</f>
        <v>4756.1779988919943</v>
      </c>
      <c r="Q160" s="15">
        <f>IF(P159&gt;0,(P159*('Edistynyt vuokratuottolaskuri'!$F$7/12)),0)</f>
        <v>25.600167331961217</v>
      </c>
      <c r="R160" s="15"/>
      <c r="S160" s="15"/>
      <c r="T160" s="15"/>
      <c r="U160" s="15"/>
      <c r="V160" s="15">
        <f t="shared" si="14"/>
        <v>0</v>
      </c>
      <c r="W160" s="15">
        <f>W159+'Edistynyt vuokratuottolaskuri'!$I$19+Q160+N160</f>
        <v>6701.790716121036</v>
      </c>
    </row>
    <row r="161" spans="1:23" x14ac:dyDescent="0.2">
      <c r="B161" s="2">
        <v>153</v>
      </c>
      <c r="C161" s="15">
        <f>C149+('Edistynyt vuokratuottolaskuri'!$C$52*C149)</f>
        <v>86765.527320161666</v>
      </c>
      <c r="D161" s="15">
        <f t="shared" si="15"/>
        <v>17145.806528635199</v>
      </c>
      <c r="E161" s="15">
        <f>-PMT(('Edistynyt vuokratuottolaskuri'!$C$33/12),('Edistynyt vuokratuottolaskuri'!$C$34*12),('Edistynyt vuokratuottolaskuri'!$C$29),0,0)</f>
        <v>209.63805404269655</v>
      </c>
      <c r="F161" s="15">
        <f>E161-(D161*('Edistynyt vuokratuottolaskuri'!$C$33/12))</f>
        <v>181.06170982830454</v>
      </c>
      <c r="G161" s="15">
        <f>IF(Lyhennystapa="Annuiteetti",(D161-F161),IF(Lyhennystapa="Tasalyhennys",(D161-'Edistynyt vuokratuottolaskuri'!$C$38),IF(Lyhennystapa="Bullet",D160,"")))</f>
        <v>16964.744818806896</v>
      </c>
      <c r="H161" s="15">
        <f t="shared" si="18"/>
        <v>0</v>
      </c>
      <c r="I161" s="15">
        <f>-PMT(('Edistynyt vuokratuottolaskuri'!$C$18/12),('Edistynyt vuokratuottolaskuri'!$C$19*12),('Edistynyt vuokratuottolaskuri'!$C$17),0,0)</f>
        <v>110.41614461107285</v>
      </c>
      <c r="J161" s="15">
        <f>I161-(H161*('Edistynyt vuokratuottolaskuri'!$C$18/12))</f>
        <v>110.41614461107285</v>
      </c>
      <c r="K161" s="15">
        <f t="shared" si="17"/>
        <v>0</v>
      </c>
      <c r="L161" s="15">
        <f t="shared" si="16"/>
        <v>16964.744818806896</v>
      </c>
      <c r="M161" s="15">
        <f>'Edistynyt vuokratuottolaskuri'!$C$6-K161-G161</f>
        <v>55035.255181193104</v>
      </c>
      <c r="N161" s="15">
        <f>$N$152+(('Edistynyt vuokratuottolaskuri'!$I$7+$N$152)*'Edistynyt vuokratuottolaskuri'!$C$9*(1-'Edistynyt vuokratuottolaskuri'!$C$41))</f>
        <v>0</v>
      </c>
      <c r="O161" s="15">
        <f>-'Edistynyt vuokratuottolaskuri'!$C$10*('Edistynyt vuokratuottolaskuri'!$I$7+N161-('Edistynyt vuokratuottolaskuri'!$I$17-(N161*Veroaste)))/12</f>
        <v>0</v>
      </c>
      <c r="P161" s="15">
        <f>P160+'Edistynyt vuokratuottolaskuri'!$I$19+N161+O161</f>
        <v>4787.468643621547</v>
      </c>
      <c r="Q161" s="15">
        <f>IF(P160&gt;0,(P160*('Edistynyt vuokratuottolaskuri'!$F$7/12)),0)</f>
        <v>25.76970486396096</v>
      </c>
      <c r="R161" s="15"/>
      <c r="S161" s="15"/>
      <c r="T161" s="15"/>
      <c r="U161" s="15"/>
      <c r="V161" s="15">
        <f t="shared" si="14"/>
        <v>0</v>
      </c>
      <c r="W161" s="15">
        <f>W160+'Edistynyt vuokratuottolaskuri'!$I$19+Q161+N161</f>
        <v>6758.8510657145498</v>
      </c>
    </row>
    <row r="162" spans="1:23" x14ac:dyDescent="0.2">
      <c r="B162" s="2">
        <v>154</v>
      </c>
      <c r="C162" s="15">
        <f>C150+('Edistynyt vuokratuottolaskuri'!$C$52*C150)</f>
        <v>86765.527320161666</v>
      </c>
      <c r="D162" s="15">
        <f t="shared" si="15"/>
        <v>16964.744818806896</v>
      </c>
      <c r="E162" s="15">
        <f>-PMT(('Edistynyt vuokratuottolaskuri'!$C$33/12),('Edistynyt vuokratuottolaskuri'!$C$34*12),('Edistynyt vuokratuottolaskuri'!$C$29),0,0)</f>
        <v>209.63805404269655</v>
      </c>
      <c r="F162" s="15">
        <f>E162-(D162*('Edistynyt vuokratuottolaskuri'!$C$33/12))</f>
        <v>181.36347934468506</v>
      </c>
      <c r="G162" s="15">
        <f>IF(Lyhennystapa="Annuiteetti",(D162-F162),IF(Lyhennystapa="Tasalyhennys",(D162-'Edistynyt vuokratuottolaskuri'!$C$38),IF(Lyhennystapa="Bullet",D161,"")))</f>
        <v>16783.381339462212</v>
      </c>
      <c r="H162" s="15">
        <f t="shared" si="18"/>
        <v>0</v>
      </c>
      <c r="I162" s="15">
        <f>-PMT(('Edistynyt vuokratuottolaskuri'!$C$18/12),('Edistynyt vuokratuottolaskuri'!$C$19*12),('Edistynyt vuokratuottolaskuri'!$C$17),0,0)</f>
        <v>110.41614461107285</v>
      </c>
      <c r="J162" s="15">
        <f>I162-(H162*('Edistynyt vuokratuottolaskuri'!$C$18/12))</f>
        <v>110.41614461107285</v>
      </c>
      <c r="K162" s="15">
        <f t="shared" si="17"/>
        <v>0</v>
      </c>
      <c r="L162" s="15">
        <f t="shared" si="16"/>
        <v>16783.381339462212</v>
      </c>
      <c r="M162" s="15">
        <f>'Edistynyt vuokratuottolaskuri'!$C$6-K162-G162</f>
        <v>55216.618660537788</v>
      </c>
      <c r="N162" s="15">
        <f>$N$152+(('Edistynyt vuokratuottolaskuri'!$I$7+$N$152)*'Edistynyt vuokratuottolaskuri'!$C$9*(1-'Edistynyt vuokratuottolaskuri'!$C$41))</f>
        <v>0</v>
      </c>
      <c r="O162" s="15">
        <f>-'Edistynyt vuokratuottolaskuri'!$C$10*('Edistynyt vuokratuottolaskuri'!$I$7+N162-('Edistynyt vuokratuottolaskuri'!$I$17-(N162*Veroaste)))/12</f>
        <v>0</v>
      </c>
      <c r="P162" s="15">
        <f>P161+'Edistynyt vuokratuottolaskuri'!$I$19+N162+O162</f>
        <v>4818.7592883510997</v>
      </c>
      <c r="Q162" s="15">
        <f>IF(P161&gt;0,(P161*('Edistynyt vuokratuottolaskuri'!$F$7/12)),0)</f>
        <v>25.939242395960704</v>
      </c>
      <c r="R162" s="15"/>
      <c r="S162" s="15"/>
      <c r="T162" s="15"/>
      <c r="U162" s="15"/>
      <c r="V162" s="15">
        <f t="shared" ref="V162:V166" si="19">T162+U162</f>
        <v>0</v>
      </c>
      <c r="W162" s="15">
        <f>W161+'Edistynyt vuokratuottolaskuri'!$I$19+Q162+N162</f>
        <v>6816.0809528400632</v>
      </c>
    </row>
    <row r="163" spans="1:23" x14ac:dyDescent="0.2">
      <c r="B163" s="2">
        <v>155</v>
      </c>
      <c r="C163" s="15">
        <f>C151+('Edistynyt vuokratuottolaskuri'!$C$52*C151)</f>
        <v>86765.527320161666</v>
      </c>
      <c r="D163" s="15">
        <f t="shared" si="15"/>
        <v>16783.381339462212</v>
      </c>
      <c r="E163" s="15">
        <f>-PMT(('Edistynyt vuokratuottolaskuri'!$C$33/12),('Edistynyt vuokratuottolaskuri'!$C$34*12),('Edistynyt vuokratuottolaskuri'!$C$29),0,0)</f>
        <v>209.63805404269655</v>
      </c>
      <c r="F163" s="15">
        <f>E163-(D163*('Edistynyt vuokratuottolaskuri'!$C$33/12))</f>
        <v>181.66575181025954</v>
      </c>
      <c r="G163" s="15">
        <f>IF(Lyhennystapa="Annuiteetti",(D163-F163),IF(Lyhennystapa="Tasalyhennys",(D163-'Edistynyt vuokratuottolaskuri'!$C$38),IF(Lyhennystapa="Bullet",D162,"")))</f>
        <v>16601.715587651954</v>
      </c>
      <c r="H163" s="15">
        <f t="shared" si="18"/>
        <v>0</v>
      </c>
      <c r="I163" s="15">
        <f>-PMT(('Edistynyt vuokratuottolaskuri'!$C$18/12),('Edistynyt vuokratuottolaskuri'!$C$19*12),('Edistynyt vuokratuottolaskuri'!$C$17),0,0)</f>
        <v>110.41614461107285</v>
      </c>
      <c r="J163" s="15">
        <f>I163-(H163*('Edistynyt vuokratuottolaskuri'!$C$18/12))</f>
        <v>110.41614461107285</v>
      </c>
      <c r="K163" s="15">
        <f t="shared" si="17"/>
        <v>0</v>
      </c>
      <c r="L163" s="15">
        <f t="shared" si="16"/>
        <v>16601.715587651954</v>
      </c>
      <c r="M163" s="15">
        <f>'Edistynyt vuokratuottolaskuri'!$C$6-K163-G163</f>
        <v>55398.284412348046</v>
      </c>
      <c r="N163" s="15">
        <f>$N$152+(('Edistynyt vuokratuottolaskuri'!$I$7+$N$152)*'Edistynyt vuokratuottolaskuri'!$C$9*(1-'Edistynyt vuokratuottolaskuri'!$C$41))</f>
        <v>0</v>
      </c>
      <c r="O163" s="15">
        <f>-'Edistynyt vuokratuottolaskuri'!$C$10*('Edistynyt vuokratuottolaskuri'!$I$7+N163-('Edistynyt vuokratuottolaskuri'!$I$17-(N163*Veroaste)))/12</f>
        <v>0</v>
      </c>
      <c r="P163" s="15">
        <f>P162+'Edistynyt vuokratuottolaskuri'!$I$19+N163+O163</f>
        <v>4850.0499330806524</v>
      </c>
      <c r="Q163" s="15">
        <f>IF(P162&gt;0,(P162*('Edistynyt vuokratuottolaskuri'!$F$7/12)),0)</f>
        <v>26.108779927960448</v>
      </c>
      <c r="R163" s="15"/>
      <c r="S163" s="15"/>
      <c r="T163" s="15"/>
      <c r="U163" s="15"/>
      <c r="V163" s="15">
        <f t="shared" si="19"/>
        <v>0</v>
      </c>
      <c r="W163" s="15">
        <f>W162+'Edistynyt vuokratuottolaskuri'!$I$19+Q163+N163</f>
        <v>6873.4803774975762</v>
      </c>
    </row>
    <row r="164" spans="1:23" x14ac:dyDescent="0.2">
      <c r="B164" s="2">
        <v>156</v>
      </c>
      <c r="C164" s="15">
        <f>C152+('Edistynyt vuokratuottolaskuri'!$C$52*C152)</f>
        <v>86765.527320161666</v>
      </c>
      <c r="D164" s="15">
        <f t="shared" si="15"/>
        <v>16601.715587651954</v>
      </c>
      <c r="E164" s="15">
        <f>-PMT(('Edistynyt vuokratuottolaskuri'!$C$33/12),('Edistynyt vuokratuottolaskuri'!$C$34*12),('Edistynyt vuokratuottolaskuri'!$C$29),0,0)</f>
        <v>209.63805404269655</v>
      </c>
      <c r="F164" s="15">
        <f>E164-(D164*('Edistynyt vuokratuottolaskuri'!$C$33/12))</f>
        <v>181.96852806327664</v>
      </c>
      <c r="G164" s="15">
        <f>IF(Lyhennystapa="Annuiteetti",(D164-F164),IF(Lyhennystapa="Tasalyhennys",(D164-'Edistynyt vuokratuottolaskuri'!$C$38),IF(Lyhennystapa="Bullet",D163,"")))</f>
        <v>16419.747059588677</v>
      </c>
      <c r="H164" s="15">
        <f t="shared" si="18"/>
        <v>0</v>
      </c>
      <c r="I164" s="15">
        <f>-PMT(('Edistynyt vuokratuottolaskuri'!$C$18/12),('Edistynyt vuokratuottolaskuri'!$C$19*12),('Edistynyt vuokratuottolaskuri'!$C$17),0,0)</f>
        <v>110.41614461107285</v>
      </c>
      <c r="J164" s="15">
        <f>I164-(H164*('Edistynyt vuokratuottolaskuri'!$C$18/12))</f>
        <v>110.41614461107285</v>
      </c>
      <c r="K164" s="15">
        <f t="shared" si="17"/>
        <v>0</v>
      </c>
      <c r="L164" s="15">
        <f t="shared" si="16"/>
        <v>16419.747059588677</v>
      </c>
      <c r="M164" s="15">
        <f>'Edistynyt vuokratuottolaskuri'!$C$6-K164-G164</f>
        <v>55580.252940411323</v>
      </c>
      <c r="N164" s="15">
        <f>$N$152+(('Edistynyt vuokratuottolaskuri'!$I$7+$N$152)*'Edistynyt vuokratuottolaskuri'!$C$9*(1-'Edistynyt vuokratuottolaskuri'!$C$41))</f>
        <v>0</v>
      </c>
      <c r="O164" s="15">
        <f>-'Edistynyt vuokratuottolaskuri'!$C$10*('Edistynyt vuokratuottolaskuri'!$I$7+N164-('Edistynyt vuokratuottolaskuri'!$I$17-(N164*Veroaste)))/12</f>
        <v>0</v>
      </c>
      <c r="P164" s="15">
        <f>P163+'Edistynyt vuokratuottolaskuri'!$I$19+N164+O164</f>
        <v>4881.3405778102051</v>
      </c>
      <c r="Q164" s="15">
        <f>IF(P163&gt;0,(P163*('Edistynyt vuokratuottolaskuri'!$F$7/12)),0)</f>
        <v>26.278317459960192</v>
      </c>
      <c r="R164" s="15"/>
      <c r="S164" s="15"/>
      <c r="T164" s="15"/>
      <c r="U164" s="15"/>
      <c r="V164" s="15">
        <f t="shared" si="19"/>
        <v>0</v>
      </c>
      <c r="W164" s="15">
        <f>W163+'Edistynyt vuokratuottolaskuri'!$I$19+Q164+N164</f>
        <v>6931.0493396870888</v>
      </c>
    </row>
    <row r="165" spans="1:23" x14ac:dyDescent="0.2">
      <c r="A165" s="2" t="s">
        <v>48</v>
      </c>
      <c r="B165" s="2">
        <v>157</v>
      </c>
      <c r="C165" s="15">
        <f>C153+('Edistynyt vuokratuottolaskuri'!$C$52*C153)</f>
        <v>87633.182593363279</v>
      </c>
      <c r="D165" s="15">
        <f t="shared" si="15"/>
        <v>16419.747059588677</v>
      </c>
      <c r="E165" s="15">
        <f>-PMT(('Edistynyt vuokratuottolaskuri'!$C$33/12),('Edistynyt vuokratuottolaskuri'!$C$34*12),('Edistynyt vuokratuottolaskuri'!$C$29),0,0)</f>
        <v>209.63805404269655</v>
      </c>
      <c r="F165" s="15">
        <f>E165-(D165*('Edistynyt vuokratuottolaskuri'!$C$33/12))</f>
        <v>182.2718089433821</v>
      </c>
      <c r="G165" s="15">
        <f>IF(Lyhennystapa="Annuiteetti",(D165-F165),IF(Lyhennystapa="Tasalyhennys",(D165-'Edistynyt vuokratuottolaskuri'!$C$38),IF(Lyhennystapa="Bullet",D164,"")))</f>
        <v>16237.475250645295</v>
      </c>
      <c r="H165" s="15">
        <f t="shared" si="18"/>
        <v>0</v>
      </c>
      <c r="I165" s="15">
        <f>-PMT(('Edistynyt vuokratuottolaskuri'!$C$18/12),('Edistynyt vuokratuottolaskuri'!$C$19*12),('Edistynyt vuokratuottolaskuri'!$C$17),0,0)</f>
        <v>110.41614461107285</v>
      </c>
      <c r="J165" s="15">
        <f>I165-(H165*('Edistynyt vuokratuottolaskuri'!$C$18/12))</f>
        <v>110.41614461107285</v>
      </c>
      <c r="K165" s="15">
        <f t="shared" si="17"/>
        <v>0</v>
      </c>
      <c r="L165" s="15">
        <f t="shared" si="16"/>
        <v>16237.475250645295</v>
      </c>
      <c r="M165" s="15">
        <f>'Edistynyt vuokratuottolaskuri'!$C$6-K165-G165</f>
        <v>55762.524749354707</v>
      </c>
      <c r="N165" s="15">
        <f>$N$164+(('Edistynyt vuokratuottolaskuri'!$I$7+$N$164)*'Edistynyt vuokratuottolaskuri'!$C$9*(1-'Edistynyt vuokratuottolaskuri'!$C$41))</f>
        <v>0</v>
      </c>
      <c r="O165" s="15">
        <f>-'Edistynyt vuokratuottolaskuri'!$C$10*('Edistynyt vuokratuottolaskuri'!$I$7+N165-('Edistynyt vuokratuottolaskuri'!$I$17-(N165*Veroaste)))/12</f>
        <v>0</v>
      </c>
      <c r="P165" s="15">
        <f>P164+'Edistynyt vuokratuottolaskuri'!$I$19+N165+O165</f>
        <v>4912.6312225397578</v>
      </c>
      <c r="Q165" s="15">
        <f>IF(P164&gt;0,(P164*('Edistynyt vuokratuottolaskuri'!$F$7/12)),0)</f>
        <v>26.447854991959936</v>
      </c>
      <c r="R165" s="15">
        <f>P164</f>
        <v>4881.3405778102051</v>
      </c>
      <c r="S165" s="15">
        <f>(IF(C165&gt;=$C$9,C165,$C$9))-L164-'Edistynyt vuokratuottolaskuri'!$C$28</f>
        <v>51213.435533774609</v>
      </c>
      <c r="T165" s="15">
        <f>R165+S165</f>
        <v>56094.776111584812</v>
      </c>
      <c r="U165" s="15">
        <f>(R153+(S153*'Edistynyt vuokratuottolaskuri'!$C$42)+U153)*0.1+U153</f>
        <v>39885.868575500725</v>
      </c>
      <c r="V165" s="15">
        <f>T165+U165</f>
        <v>95980.644687085529</v>
      </c>
      <c r="W165" s="15">
        <f>W164+'Edistynyt vuokratuottolaskuri'!$I$19+Q165+N165</f>
        <v>6988.787839408601</v>
      </c>
    </row>
    <row r="166" spans="1:23" x14ac:dyDescent="0.2">
      <c r="B166" s="2">
        <v>158</v>
      </c>
      <c r="C166" s="15">
        <f>C154+('Edistynyt vuokratuottolaskuri'!$C$52*C154)</f>
        <v>87633.182593363279</v>
      </c>
      <c r="D166" s="15">
        <f t="shared" si="15"/>
        <v>16237.475250645295</v>
      </c>
      <c r="E166" s="15">
        <f>-PMT(('Edistynyt vuokratuottolaskuri'!$C$33/12),('Edistynyt vuokratuottolaskuri'!$C$34*12),('Edistynyt vuokratuottolaskuri'!$C$29),0,0)</f>
        <v>209.63805404269655</v>
      </c>
      <c r="F166" s="15">
        <f>E166-(D166*('Edistynyt vuokratuottolaskuri'!$C$33/12))</f>
        <v>182.57559529162106</v>
      </c>
      <c r="G166" s="15">
        <f>IF(Lyhennystapa="Annuiteetti",(D166-F166),IF(Lyhennystapa="Tasalyhennys",(D166-'Edistynyt vuokratuottolaskuri'!$C$38),IF(Lyhennystapa="Bullet",D165,"")))</f>
        <v>16054.899655353674</v>
      </c>
      <c r="H166" s="15">
        <f t="shared" si="18"/>
        <v>0</v>
      </c>
      <c r="I166" s="15">
        <f>-PMT(('Edistynyt vuokratuottolaskuri'!$C$18/12),('Edistynyt vuokratuottolaskuri'!$C$19*12),('Edistynyt vuokratuottolaskuri'!$C$17),0,0)</f>
        <v>110.41614461107285</v>
      </c>
      <c r="J166" s="15">
        <f>I166-(H166*('Edistynyt vuokratuottolaskuri'!$C$18/12))</f>
        <v>110.41614461107285</v>
      </c>
      <c r="K166" s="15">
        <f t="shared" si="17"/>
        <v>0</v>
      </c>
      <c r="L166" s="15">
        <f t="shared" si="16"/>
        <v>16054.899655353674</v>
      </c>
      <c r="M166" s="15">
        <f>'Edistynyt vuokratuottolaskuri'!$C$6-K166-G166</f>
        <v>55945.100344646329</v>
      </c>
      <c r="N166" s="15">
        <f>$N$164+(('Edistynyt vuokratuottolaskuri'!$I$7+$N$164)*'Edistynyt vuokratuottolaskuri'!$C$9*(1-'Edistynyt vuokratuottolaskuri'!$C$41))</f>
        <v>0</v>
      </c>
      <c r="O166" s="15">
        <f>-'Edistynyt vuokratuottolaskuri'!$C$10*('Edistynyt vuokratuottolaskuri'!$I$7+N166-('Edistynyt vuokratuottolaskuri'!$I$17-(N166*Veroaste)))/12</f>
        <v>0</v>
      </c>
      <c r="P166" s="15">
        <f>P165+'Edistynyt vuokratuottolaskuri'!$I$19+N166+O166</f>
        <v>4943.9218672693105</v>
      </c>
      <c r="Q166" s="15">
        <f>IF(P165&gt;0,(P165*('Edistynyt vuokratuottolaskuri'!$F$7/12)),0)</f>
        <v>26.61739252395968</v>
      </c>
      <c r="R166" s="15"/>
      <c r="S166" s="15"/>
      <c r="T166" s="15"/>
      <c r="U166" s="15"/>
      <c r="V166" s="15">
        <f t="shared" si="19"/>
        <v>0</v>
      </c>
      <c r="W166" s="15">
        <f>W165+'Edistynyt vuokratuottolaskuri'!$I$19+Q166+N166</f>
        <v>7046.6958766621137</v>
      </c>
    </row>
    <row r="167" spans="1:23" x14ac:dyDescent="0.2">
      <c r="B167" s="2">
        <v>159</v>
      </c>
      <c r="C167" s="15">
        <f>C155+('Edistynyt vuokratuottolaskuri'!$C$52*C155)</f>
        <v>87633.182593363279</v>
      </c>
      <c r="D167" s="15">
        <f t="shared" si="15"/>
        <v>16054.899655353674</v>
      </c>
      <c r="E167" s="15">
        <f>-PMT(('Edistynyt vuokratuottolaskuri'!$C$33/12),('Edistynyt vuokratuottolaskuri'!$C$34*12),('Edistynyt vuokratuottolaskuri'!$C$29),0,0)</f>
        <v>209.63805404269655</v>
      </c>
      <c r="F167" s="15">
        <f>E167-(D167*('Edistynyt vuokratuottolaskuri'!$C$33/12))</f>
        <v>182.87988795044043</v>
      </c>
      <c r="G167" s="15">
        <f>IF(Lyhennystapa="Annuiteetti",(D167-F167),IF(Lyhennystapa="Tasalyhennys",(D167-'Edistynyt vuokratuottolaskuri'!$C$38),IF(Lyhennystapa="Bullet",D166,"")))</f>
        <v>15872.019767403233</v>
      </c>
      <c r="H167" s="15">
        <f t="shared" si="18"/>
        <v>0</v>
      </c>
      <c r="I167" s="15">
        <f>-PMT(('Edistynyt vuokratuottolaskuri'!$C$18/12),('Edistynyt vuokratuottolaskuri'!$C$19*12),('Edistynyt vuokratuottolaskuri'!$C$17),0,0)</f>
        <v>110.41614461107285</v>
      </c>
      <c r="J167" s="15">
        <f>I167-(H167*('Edistynyt vuokratuottolaskuri'!$C$18/12))</f>
        <v>110.41614461107285</v>
      </c>
      <c r="K167" s="15">
        <f t="shared" si="17"/>
        <v>0</v>
      </c>
      <c r="L167" s="15">
        <f t="shared" si="16"/>
        <v>15872.019767403233</v>
      </c>
      <c r="M167" s="15">
        <f>'Edistynyt vuokratuottolaskuri'!$C$6-K167-G167</f>
        <v>56127.980232596768</v>
      </c>
      <c r="N167" s="15">
        <f>$N$164+(('Edistynyt vuokratuottolaskuri'!$I$7+$N$164)*'Edistynyt vuokratuottolaskuri'!$C$9*(1-'Edistynyt vuokratuottolaskuri'!$C$41))</f>
        <v>0</v>
      </c>
      <c r="O167" s="15">
        <f>-'Edistynyt vuokratuottolaskuri'!$C$10*('Edistynyt vuokratuottolaskuri'!$I$7+N167-('Edistynyt vuokratuottolaskuri'!$I$17-(N167*Veroaste)))/12</f>
        <v>0</v>
      </c>
      <c r="P167" s="15">
        <f>P166+'Edistynyt vuokratuottolaskuri'!$I$19+N167+O167</f>
        <v>4975.2125119988632</v>
      </c>
      <c r="Q167" s="15">
        <f>IF(P166&gt;0,(P166*('Edistynyt vuokratuottolaskuri'!$F$7/12)),0)</f>
        <v>26.786930055959424</v>
      </c>
      <c r="R167" s="15"/>
      <c r="S167" s="15"/>
      <c r="T167" s="15"/>
      <c r="U167" s="15"/>
      <c r="V167" s="15"/>
      <c r="W167" s="15">
        <f>W166+'Edistynyt vuokratuottolaskuri'!$I$19+Q167+N167</f>
        <v>7104.773451447626</v>
      </c>
    </row>
    <row r="168" spans="1:23" x14ac:dyDescent="0.2">
      <c r="B168" s="2">
        <v>160</v>
      </c>
      <c r="C168" s="15">
        <f>C156+('Edistynyt vuokratuottolaskuri'!$C$52*C156)</f>
        <v>87633.182593363279</v>
      </c>
      <c r="D168" s="15">
        <f t="shared" si="15"/>
        <v>15872.019767403233</v>
      </c>
      <c r="E168" s="15">
        <f>-PMT(('Edistynyt vuokratuottolaskuri'!$C$33/12),('Edistynyt vuokratuottolaskuri'!$C$34*12),('Edistynyt vuokratuottolaskuri'!$C$29),0,0)</f>
        <v>209.63805404269655</v>
      </c>
      <c r="F168" s="15">
        <f>E168-(D168*('Edistynyt vuokratuottolaskuri'!$C$33/12))</f>
        <v>183.18468776369116</v>
      </c>
      <c r="G168" s="15">
        <f>IF(Lyhennystapa="Annuiteetti",(D168-F168),IF(Lyhennystapa="Tasalyhennys",(D168-'Edistynyt vuokratuottolaskuri'!$C$38),IF(Lyhennystapa="Bullet",D167,"")))</f>
        <v>15688.835079639543</v>
      </c>
      <c r="H168" s="15">
        <f t="shared" si="18"/>
        <v>0</v>
      </c>
      <c r="I168" s="15">
        <f>-PMT(('Edistynyt vuokratuottolaskuri'!$C$18/12),('Edistynyt vuokratuottolaskuri'!$C$19*12),('Edistynyt vuokratuottolaskuri'!$C$17),0,0)</f>
        <v>110.41614461107285</v>
      </c>
      <c r="J168" s="15">
        <f>I168-(H168*('Edistynyt vuokratuottolaskuri'!$C$18/12))</f>
        <v>110.41614461107285</v>
      </c>
      <c r="K168" s="15">
        <f t="shared" si="17"/>
        <v>0</v>
      </c>
      <c r="L168" s="15">
        <f t="shared" si="16"/>
        <v>15688.835079639543</v>
      </c>
      <c r="M168" s="15">
        <f>'Edistynyt vuokratuottolaskuri'!$C$6-K168-G168</f>
        <v>56311.164920360461</v>
      </c>
      <c r="N168" s="15">
        <f>$N$164+(('Edistynyt vuokratuottolaskuri'!$I$7+$N$164)*'Edistynyt vuokratuottolaskuri'!$C$9*(1-'Edistynyt vuokratuottolaskuri'!$C$41))</f>
        <v>0</v>
      </c>
      <c r="O168" s="15">
        <f>-'Edistynyt vuokratuottolaskuri'!$C$10*('Edistynyt vuokratuottolaskuri'!$I$7+N168-('Edistynyt vuokratuottolaskuri'!$I$17-(N168*Veroaste)))/12</f>
        <v>0</v>
      </c>
      <c r="P168" s="15">
        <f>P167+'Edistynyt vuokratuottolaskuri'!$I$19+N168+O168</f>
        <v>5006.5031567284159</v>
      </c>
      <c r="Q168" s="15">
        <f>IF(P167&gt;0,(P167*('Edistynyt vuokratuottolaskuri'!$F$7/12)),0)</f>
        <v>26.956467587959168</v>
      </c>
      <c r="R168" s="15"/>
      <c r="S168" s="15"/>
      <c r="T168" s="15"/>
      <c r="U168" s="15"/>
      <c r="V168" s="15"/>
      <c r="W168" s="15">
        <f>W167+'Edistynyt vuokratuottolaskuri'!$I$19+Q168+N168</f>
        <v>7163.0205637651379</v>
      </c>
    </row>
    <row r="169" spans="1:23" x14ac:dyDescent="0.2">
      <c r="B169" s="2">
        <v>161</v>
      </c>
      <c r="C169" s="15">
        <f>C157+('Edistynyt vuokratuottolaskuri'!$C$52*C157)</f>
        <v>87633.182593363279</v>
      </c>
      <c r="D169" s="15">
        <f t="shared" si="15"/>
        <v>15688.835079639543</v>
      </c>
      <c r="E169" s="15">
        <f>-PMT(('Edistynyt vuokratuottolaskuri'!$C$33/12),('Edistynyt vuokratuottolaskuri'!$C$34*12),('Edistynyt vuokratuottolaskuri'!$C$29),0,0)</f>
        <v>209.63805404269655</v>
      </c>
      <c r="F169" s="15">
        <f>E169-(D169*('Edistynyt vuokratuottolaskuri'!$C$33/12))</f>
        <v>183.48999557663063</v>
      </c>
      <c r="G169" s="15">
        <f>IF(Lyhennystapa="Annuiteetti",(D169-F169),IF(Lyhennystapa="Tasalyhennys",(D169-'Edistynyt vuokratuottolaskuri'!$C$38),IF(Lyhennystapa="Bullet",D168,"")))</f>
        <v>15505.345084062912</v>
      </c>
      <c r="H169" s="15">
        <f t="shared" si="18"/>
        <v>0</v>
      </c>
      <c r="I169" s="15">
        <f>-PMT(('Edistynyt vuokratuottolaskuri'!$C$18/12),('Edistynyt vuokratuottolaskuri'!$C$19*12),('Edistynyt vuokratuottolaskuri'!$C$17),0,0)</f>
        <v>110.41614461107285</v>
      </c>
      <c r="J169" s="15">
        <f>I169-(H169*('Edistynyt vuokratuottolaskuri'!$C$18/12))</f>
        <v>110.41614461107285</v>
      </c>
      <c r="K169" s="15">
        <f t="shared" si="17"/>
        <v>0</v>
      </c>
      <c r="L169" s="15">
        <f t="shared" si="16"/>
        <v>15505.345084062912</v>
      </c>
      <c r="M169" s="15">
        <f>'Edistynyt vuokratuottolaskuri'!$C$6-K169-G169</f>
        <v>56494.654915937092</v>
      </c>
      <c r="N169" s="15">
        <f>$N$164+(('Edistynyt vuokratuottolaskuri'!$I$7+$N$164)*'Edistynyt vuokratuottolaskuri'!$C$9*(1-'Edistynyt vuokratuottolaskuri'!$C$41))</f>
        <v>0</v>
      </c>
      <c r="O169" s="15">
        <f>-'Edistynyt vuokratuottolaskuri'!$C$10*('Edistynyt vuokratuottolaskuri'!$I$7+N169-('Edistynyt vuokratuottolaskuri'!$I$17-(N169*Veroaste)))/12</f>
        <v>0</v>
      </c>
      <c r="P169" s="15">
        <f>P168+'Edistynyt vuokratuottolaskuri'!$I$19+N169+O169</f>
        <v>5037.7938014579686</v>
      </c>
      <c r="Q169" s="15">
        <f>IF(P168&gt;0,(P168*('Edistynyt vuokratuottolaskuri'!$F$7/12)),0)</f>
        <v>27.126005119958911</v>
      </c>
      <c r="R169" s="15"/>
      <c r="S169" s="15"/>
      <c r="T169" s="15"/>
      <c r="U169" s="15"/>
      <c r="V169" s="15"/>
      <c r="W169" s="15">
        <f>W168+'Edistynyt vuokratuottolaskuri'!$I$19+Q169+N169</f>
        <v>7221.4372136146494</v>
      </c>
    </row>
    <row r="170" spans="1:23" x14ac:dyDescent="0.2">
      <c r="B170" s="2">
        <v>162</v>
      </c>
      <c r="C170" s="15">
        <f>C158+('Edistynyt vuokratuottolaskuri'!$C$52*C158)</f>
        <v>87633.182593363279</v>
      </c>
      <c r="D170" s="15">
        <f t="shared" si="15"/>
        <v>15505.345084062912</v>
      </c>
      <c r="E170" s="15">
        <f>-PMT(('Edistynyt vuokratuottolaskuri'!$C$33/12),('Edistynyt vuokratuottolaskuri'!$C$34*12),('Edistynyt vuokratuottolaskuri'!$C$29),0,0)</f>
        <v>209.63805404269655</v>
      </c>
      <c r="F170" s="15">
        <f>E170-(D170*('Edistynyt vuokratuottolaskuri'!$C$33/12))</f>
        <v>183.79581223592504</v>
      </c>
      <c r="G170" s="15">
        <f>IF(Lyhennystapa="Annuiteetti",(D170-F170),IF(Lyhennystapa="Tasalyhennys",(D170-'Edistynyt vuokratuottolaskuri'!$C$38),IF(Lyhennystapa="Bullet",D169,"")))</f>
        <v>15321.549271826987</v>
      </c>
      <c r="H170" s="15">
        <f t="shared" si="18"/>
        <v>0</v>
      </c>
      <c r="I170" s="15">
        <f>-PMT(('Edistynyt vuokratuottolaskuri'!$C$18/12),('Edistynyt vuokratuottolaskuri'!$C$19*12),('Edistynyt vuokratuottolaskuri'!$C$17),0,0)</f>
        <v>110.41614461107285</v>
      </c>
      <c r="J170" s="15">
        <f>I170-(H170*('Edistynyt vuokratuottolaskuri'!$C$18/12))</f>
        <v>110.41614461107285</v>
      </c>
      <c r="K170" s="15">
        <f t="shared" si="17"/>
        <v>0</v>
      </c>
      <c r="L170" s="15">
        <f t="shared" si="16"/>
        <v>15321.549271826987</v>
      </c>
      <c r="M170" s="15">
        <f>'Edistynyt vuokratuottolaskuri'!$C$6-K170-G170</f>
        <v>56678.450728173011</v>
      </c>
      <c r="N170" s="15">
        <f>$N$164+(('Edistynyt vuokratuottolaskuri'!$I$7+$N$164)*'Edistynyt vuokratuottolaskuri'!$C$9*(1-'Edistynyt vuokratuottolaskuri'!$C$41))</f>
        <v>0</v>
      </c>
      <c r="O170" s="15">
        <f>-'Edistynyt vuokratuottolaskuri'!$C$10*('Edistynyt vuokratuottolaskuri'!$I$7+N170-('Edistynyt vuokratuottolaskuri'!$I$17-(N170*Veroaste)))/12</f>
        <v>0</v>
      </c>
      <c r="P170" s="15">
        <f>P169+'Edistynyt vuokratuottolaskuri'!$I$19+N170+O170</f>
        <v>5069.0844461875213</v>
      </c>
      <c r="Q170" s="15">
        <f>IF(P169&gt;0,(P169*('Edistynyt vuokratuottolaskuri'!$F$7/12)),0)</f>
        <v>27.295542651958655</v>
      </c>
      <c r="R170" s="15"/>
      <c r="S170" s="15"/>
      <c r="T170" s="15"/>
      <c r="U170" s="15"/>
      <c r="V170" s="15"/>
      <c r="W170" s="15">
        <f>W169+'Edistynyt vuokratuottolaskuri'!$I$19+Q170+N170</f>
        <v>7280.0234009961605</v>
      </c>
    </row>
    <row r="171" spans="1:23" x14ac:dyDescent="0.2">
      <c r="B171" s="2">
        <v>163</v>
      </c>
      <c r="C171" s="15">
        <f>C159+('Edistynyt vuokratuottolaskuri'!$C$52*C159)</f>
        <v>87633.182593363279</v>
      </c>
      <c r="D171" s="15">
        <f t="shared" si="15"/>
        <v>15321.549271826987</v>
      </c>
      <c r="E171" s="15">
        <f>-PMT(('Edistynyt vuokratuottolaskuri'!$C$33/12),('Edistynyt vuokratuottolaskuri'!$C$34*12),('Edistynyt vuokratuottolaskuri'!$C$29),0,0)</f>
        <v>209.63805404269655</v>
      </c>
      <c r="F171" s="15">
        <f>E171-(D171*('Edistynyt vuokratuottolaskuri'!$C$33/12))</f>
        <v>184.10213858965159</v>
      </c>
      <c r="G171" s="15">
        <f>IF(Lyhennystapa="Annuiteetti",(D171-F171),IF(Lyhennystapa="Tasalyhennys",(D171-'Edistynyt vuokratuottolaskuri'!$C$38),IF(Lyhennystapa="Bullet",D170,"")))</f>
        <v>15137.447133237336</v>
      </c>
      <c r="H171" s="15">
        <f t="shared" si="18"/>
        <v>0</v>
      </c>
      <c r="I171" s="15">
        <f>-PMT(('Edistynyt vuokratuottolaskuri'!$C$18/12),('Edistynyt vuokratuottolaskuri'!$C$19*12),('Edistynyt vuokratuottolaskuri'!$C$17),0,0)</f>
        <v>110.41614461107285</v>
      </c>
      <c r="J171" s="15">
        <f>I171-(H171*('Edistynyt vuokratuottolaskuri'!$C$18/12))</f>
        <v>110.41614461107285</v>
      </c>
      <c r="K171" s="15">
        <f t="shared" si="17"/>
        <v>0</v>
      </c>
      <c r="L171" s="15">
        <f t="shared" si="16"/>
        <v>15137.447133237336</v>
      </c>
      <c r="M171" s="15">
        <f>'Edistynyt vuokratuottolaskuri'!$C$6-K171-G171</f>
        <v>56862.552866762664</v>
      </c>
      <c r="N171" s="15">
        <f>$N$164+(('Edistynyt vuokratuottolaskuri'!$I$7+$N$164)*'Edistynyt vuokratuottolaskuri'!$C$9*(1-'Edistynyt vuokratuottolaskuri'!$C$41))</f>
        <v>0</v>
      </c>
      <c r="O171" s="15">
        <f>-'Edistynyt vuokratuottolaskuri'!$C$10*('Edistynyt vuokratuottolaskuri'!$I$7+N171-('Edistynyt vuokratuottolaskuri'!$I$17-(N171*Veroaste)))/12</f>
        <v>0</v>
      </c>
      <c r="P171" s="15">
        <f>P170+'Edistynyt vuokratuottolaskuri'!$I$19+N171+O171</f>
        <v>5100.375090917074</v>
      </c>
      <c r="Q171" s="15">
        <f>IF(P170&gt;0,(P170*('Edistynyt vuokratuottolaskuri'!$F$7/12)),0)</f>
        <v>27.465080183958399</v>
      </c>
      <c r="R171" s="15"/>
      <c r="S171" s="15"/>
      <c r="T171" s="15"/>
      <c r="U171" s="15"/>
      <c r="V171" s="15"/>
      <c r="W171" s="15">
        <f>W170+'Edistynyt vuokratuottolaskuri'!$I$19+Q171+N171</f>
        <v>7338.7791259096712</v>
      </c>
    </row>
    <row r="172" spans="1:23" x14ac:dyDescent="0.2">
      <c r="B172" s="2">
        <v>164</v>
      </c>
      <c r="C172" s="15">
        <f>C160+('Edistynyt vuokratuottolaskuri'!$C$52*C160)</f>
        <v>87633.182593363279</v>
      </c>
      <c r="D172" s="15">
        <f t="shared" si="15"/>
        <v>15137.447133237336</v>
      </c>
      <c r="E172" s="15">
        <f>-PMT(('Edistynyt vuokratuottolaskuri'!$C$33/12),('Edistynyt vuokratuottolaskuri'!$C$34*12),('Edistynyt vuokratuottolaskuri'!$C$29),0,0)</f>
        <v>209.63805404269655</v>
      </c>
      <c r="F172" s="15">
        <f>E172-(D172*('Edistynyt vuokratuottolaskuri'!$C$33/12))</f>
        <v>184.40897548730101</v>
      </c>
      <c r="G172" s="15">
        <f>IF(Lyhennystapa="Annuiteetti",(D172-F172),IF(Lyhennystapa="Tasalyhennys",(D172-'Edistynyt vuokratuottolaskuri'!$C$38),IF(Lyhennystapa="Bullet",D171,"")))</f>
        <v>14953.038157750036</v>
      </c>
      <c r="H172" s="15">
        <f t="shared" si="18"/>
        <v>0</v>
      </c>
      <c r="I172" s="15">
        <f>-PMT(('Edistynyt vuokratuottolaskuri'!$C$18/12),('Edistynyt vuokratuottolaskuri'!$C$19*12),('Edistynyt vuokratuottolaskuri'!$C$17),0,0)</f>
        <v>110.41614461107285</v>
      </c>
      <c r="J172" s="15">
        <f>I172-(H172*('Edistynyt vuokratuottolaskuri'!$C$18/12))</f>
        <v>110.41614461107285</v>
      </c>
      <c r="K172" s="15">
        <f t="shared" si="17"/>
        <v>0</v>
      </c>
      <c r="L172" s="15">
        <f t="shared" si="16"/>
        <v>14953.038157750036</v>
      </c>
      <c r="M172" s="15">
        <f>'Edistynyt vuokratuottolaskuri'!$C$6-K172-G172</f>
        <v>57046.961842249963</v>
      </c>
      <c r="N172" s="15">
        <f>$N$164+(('Edistynyt vuokratuottolaskuri'!$I$7+$N$164)*'Edistynyt vuokratuottolaskuri'!$C$9*(1-'Edistynyt vuokratuottolaskuri'!$C$41))</f>
        <v>0</v>
      </c>
      <c r="O172" s="15">
        <f>-'Edistynyt vuokratuottolaskuri'!$C$10*('Edistynyt vuokratuottolaskuri'!$I$7+N172-('Edistynyt vuokratuottolaskuri'!$I$17-(N172*Veroaste)))/12</f>
        <v>0</v>
      </c>
      <c r="P172" s="15">
        <f>P171+'Edistynyt vuokratuottolaskuri'!$I$19+N172+O172</f>
        <v>5131.6657356466267</v>
      </c>
      <c r="Q172" s="15">
        <f>IF(P171&gt;0,(P171*('Edistynyt vuokratuottolaskuri'!$F$7/12)),0)</f>
        <v>27.634617715958143</v>
      </c>
      <c r="R172" s="15"/>
      <c r="S172" s="15"/>
      <c r="T172" s="15"/>
      <c r="U172" s="15"/>
      <c r="V172" s="15"/>
      <c r="W172" s="15">
        <f>W171+'Edistynyt vuokratuottolaskuri'!$I$19+Q172+N172</f>
        <v>7397.7043883551823</v>
      </c>
    </row>
    <row r="173" spans="1:23" x14ac:dyDescent="0.2">
      <c r="B173" s="2">
        <v>165</v>
      </c>
      <c r="C173" s="15">
        <f>C161+('Edistynyt vuokratuottolaskuri'!$C$52*C161)</f>
        <v>87633.182593363279</v>
      </c>
      <c r="D173" s="15">
        <f t="shared" si="15"/>
        <v>14953.038157750036</v>
      </c>
      <c r="E173" s="15">
        <f>-PMT(('Edistynyt vuokratuottolaskuri'!$C$33/12),('Edistynyt vuokratuottolaskuri'!$C$34*12),('Edistynyt vuokratuottolaskuri'!$C$29),0,0)</f>
        <v>209.63805404269655</v>
      </c>
      <c r="F173" s="15">
        <f>E173-(D173*('Edistynyt vuokratuottolaskuri'!$C$33/12))</f>
        <v>184.71632377977983</v>
      </c>
      <c r="G173" s="15">
        <f>IF(Lyhennystapa="Annuiteetti",(D173-F173),IF(Lyhennystapa="Tasalyhennys",(D173-'Edistynyt vuokratuottolaskuri'!$C$38),IF(Lyhennystapa="Bullet",D172,"")))</f>
        <v>14768.321833970256</v>
      </c>
      <c r="H173" s="15">
        <f t="shared" si="18"/>
        <v>0</v>
      </c>
      <c r="I173" s="15">
        <f>-PMT(('Edistynyt vuokratuottolaskuri'!$C$18/12),('Edistynyt vuokratuottolaskuri'!$C$19*12),('Edistynyt vuokratuottolaskuri'!$C$17),0,0)</f>
        <v>110.41614461107285</v>
      </c>
      <c r="J173" s="15">
        <f>I173-(H173*('Edistynyt vuokratuottolaskuri'!$C$18/12))</f>
        <v>110.41614461107285</v>
      </c>
      <c r="K173" s="15">
        <f t="shared" si="17"/>
        <v>0</v>
      </c>
      <c r="L173" s="15">
        <f t="shared" si="16"/>
        <v>14768.321833970256</v>
      </c>
      <c r="M173" s="15">
        <f>'Edistynyt vuokratuottolaskuri'!$C$6-K173-G173</f>
        <v>57231.678166029742</v>
      </c>
      <c r="N173" s="15">
        <f>$N$164+(('Edistynyt vuokratuottolaskuri'!$I$7+$N$164)*'Edistynyt vuokratuottolaskuri'!$C$9*(1-'Edistynyt vuokratuottolaskuri'!$C$41))</f>
        <v>0</v>
      </c>
      <c r="O173" s="15">
        <f>-'Edistynyt vuokratuottolaskuri'!$C$10*('Edistynyt vuokratuottolaskuri'!$I$7+N173-('Edistynyt vuokratuottolaskuri'!$I$17-(N173*Veroaste)))/12</f>
        <v>0</v>
      </c>
      <c r="P173" s="15">
        <f>P172+'Edistynyt vuokratuottolaskuri'!$I$19+N173+O173</f>
        <v>5162.9563803761794</v>
      </c>
      <c r="Q173" s="15">
        <f>IF(P172&gt;0,(P172*('Edistynyt vuokratuottolaskuri'!$F$7/12)),0)</f>
        <v>27.804155247957887</v>
      </c>
      <c r="R173" s="15"/>
      <c r="S173" s="15"/>
      <c r="T173" s="15"/>
      <c r="U173" s="15"/>
      <c r="V173" s="15"/>
      <c r="W173" s="15">
        <f>W172+'Edistynyt vuokratuottolaskuri'!$I$19+Q173+N173</f>
        <v>7456.7991883326931</v>
      </c>
    </row>
    <row r="174" spans="1:23" x14ac:dyDescent="0.2">
      <c r="B174" s="2">
        <v>166</v>
      </c>
      <c r="C174" s="15">
        <f>C162+('Edistynyt vuokratuottolaskuri'!$C$52*C162)</f>
        <v>87633.182593363279</v>
      </c>
      <c r="D174" s="15">
        <f t="shared" si="15"/>
        <v>14768.321833970256</v>
      </c>
      <c r="E174" s="15">
        <f>-PMT(('Edistynyt vuokratuottolaskuri'!$C$33/12),('Edistynyt vuokratuottolaskuri'!$C$34*12),('Edistynyt vuokratuottolaskuri'!$C$29),0,0)</f>
        <v>209.63805404269655</v>
      </c>
      <c r="F174" s="15">
        <f>E174-(D174*('Edistynyt vuokratuottolaskuri'!$C$33/12))</f>
        <v>185.0241843194128</v>
      </c>
      <c r="G174" s="15">
        <f>IF(Lyhennystapa="Annuiteetti",(D174-F174),IF(Lyhennystapa="Tasalyhennys",(D174-'Edistynyt vuokratuottolaskuri'!$C$38),IF(Lyhennystapa="Bullet",D173,"")))</f>
        <v>14583.297649650844</v>
      </c>
      <c r="H174" s="15">
        <f t="shared" si="18"/>
        <v>0</v>
      </c>
      <c r="I174" s="15">
        <f>-PMT(('Edistynyt vuokratuottolaskuri'!$C$18/12),('Edistynyt vuokratuottolaskuri'!$C$19*12),('Edistynyt vuokratuottolaskuri'!$C$17),0,0)</f>
        <v>110.41614461107285</v>
      </c>
      <c r="J174" s="15">
        <f>I174-(H174*('Edistynyt vuokratuottolaskuri'!$C$18/12))</f>
        <v>110.41614461107285</v>
      </c>
      <c r="K174" s="15">
        <f t="shared" si="17"/>
        <v>0</v>
      </c>
      <c r="L174" s="15">
        <f t="shared" si="16"/>
        <v>14583.297649650844</v>
      </c>
      <c r="M174" s="15">
        <f>'Edistynyt vuokratuottolaskuri'!$C$6-K174-G174</f>
        <v>57416.702350349158</v>
      </c>
      <c r="N174" s="15">
        <f>$N$164+(('Edistynyt vuokratuottolaskuri'!$I$7+$N$164)*'Edistynyt vuokratuottolaskuri'!$C$9*(1-'Edistynyt vuokratuottolaskuri'!$C$41))</f>
        <v>0</v>
      </c>
      <c r="O174" s="15">
        <f>-'Edistynyt vuokratuottolaskuri'!$C$10*('Edistynyt vuokratuottolaskuri'!$I$7+N174-('Edistynyt vuokratuottolaskuri'!$I$17-(N174*Veroaste)))/12</f>
        <v>0</v>
      </c>
      <c r="P174" s="15">
        <f>P173+'Edistynyt vuokratuottolaskuri'!$I$19+N174+O174</f>
        <v>5194.2470251057321</v>
      </c>
      <c r="Q174" s="15">
        <f>IF(P173&gt;0,(P173*('Edistynyt vuokratuottolaskuri'!$F$7/12)),0)</f>
        <v>27.973692779957631</v>
      </c>
      <c r="R174" s="15"/>
      <c r="S174" s="15"/>
      <c r="T174" s="15"/>
      <c r="U174" s="15"/>
      <c r="V174" s="15"/>
      <c r="W174" s="15">
        <f>W173+'Edistynyt vuokratuottolaskuri'!$I$19+Q174+N174</f>
        <v>7516.0635258422035</v>
      </c>
    </row>
    <row r="175" spans="1:23" x14ac:dyDescent="0.2">
      <c r="B175" s="2">
        <v>167</v>
      </c>
      <c r="C175" s="15">
        <f>C163+('Edistynyt vuokratuottolaskuri'!$C$52*C163)</f>
        <v>87633.182593363279</v>
      </c>
      <c r="D175" s="15">
        <f t="shared" si="15"/>
        <v>14583.297649650844</v>
      </c>
      <c r="E175" s="15">
        <f>-PMT(('Edistynyt vuokratuottolaskuri'!$C$33/12),('Edistynyt vuokratuottolaskuri'!$C$34*12),('Edistynyt vuokratuottolaskuri'!$C$29),0,0)</f>
        <v>209.63805404269655</v>
      </c>
      <c r="F175" s="15">
        <f>E175-(D175*('Edistynyt vuokratuottolaskuri'!$C$33/12))</f>
        <v>185.33255795994515</v>
      </c>
      <c r="G175" s="15">
        <f>IF(Lyhennystapa="Annuiteetti",(D175-F175),IF(Lyhennystapa="Tasalyhennys",(D175-'Edistynyt vuokratuottolaskuri'!$C$38),IF(Lyhennystapa="Bullet",D174,"")))</f>
        <v>14397.965091690898</v>
      </c>
      <c r="H175" s="15">
        <f t="shared" si="18"/>
        <v>0</v>
      </c>
      <c r="I175" s="15">
        <f>-PMT(('Edistynyt vuokratuottolaskuri'!$C$18/12),('Edistynyt vuokratuottolaskuri'!$C$19*12),('Edistynyt vuokratuottolaskuri'!$C$17),0,0)</f>
        <v>110.41614461107285</v>
      </c>
      <c r="J175" s="15">
        <f>I175-(H175*('Edistynyt vuokratuottolaskuri'!$C$18/12))</f>
        <v>110.41614461107285</v>
      </c>
      <c r="K175" s="15">
        <f t="shared" si="17"/>
        <v>0</v>
      </c>
      <c r="L175" s="15">
        <f t="shared" si="16"/>
        <v>14397.965091690898</v>
      </c>
      <c r="M175" s="15">
        <f>'Edistynyt vuokratuottolaskuri'!$C$6-K175-G175</f>
        <v>57602.034908309099</v>
      </c>
      <c r="N175" s="15">
        <f>$N$164+(('Edistynyt vuokratuottolaskuri'!$I$7+$N$164)*'Edistynyt vuokratuottolaskuri'!$C$9*(1-'Edistynyt vuokratuottolaskuri'!$C$41))</f>
        <v>0</v>
      </c>
      <c r="O175" s="15">
        <f>-'Edistynyt vuokratuottolaskuri'!$C$10*('Edistynyt vuokratuottolaskuri'!$I$7+N175-('Edistynyt vuokratuottolaskuri'!$I$17-(N175*Veroaste)))/12</f>
        <v>0</v>
      </c>
      <c r="P175" s="15">
        <f>P174+'Edistynyt vuokratuottolaskuri'!$I$19+N175+O175</f>
        <v>5225.5376698352848</v>
      </c>
      <c r="Q175" s="15">
        <f>IF(P174&gt;0,(P174*('Edistynyt vuokratuottolaskuri'!$F$7/12)),0)</f>
        <v>28.143230311957375</v>
      </c>
      <c r="R175" s="15"/>
      <c r="S175" s="15"/>
      <c r="T175" s="15"/>
      <c r="U175" s="15"/>
      <c r="V175" s="15"/>
      <c r="W175" s="15">
        <f>W174+'Edistynyt vuokratuottolaskuri'!$I$19+Q175+N175</f>
        <v>7575.4974008837135</v>
      </c>
    </row>
    <row r="176" spans="1:23" x14ac:dyDescent="0.2">
      <c r="B176" s="2">
        <v>168</v>
      </c>
      <c r="C176" s="15">
        <f>C164+('Edistynyt vuokratuottolaskuri'!$C$52*C164)</f>
        <v>87633.182593363279</v>
      </c>
      <c r="D176" s="15">
        <f t="shared" si="15"/>
        <v>14397.965091690898</v>
      </c>
      <c r="E176" s="15">
        <f>-PMT(('Edistynyt vuokratuottolaskuri'!$C$33/12),('Edistynyt vuokratuottolaskuri'!$C$34*12),('Edistynyt vuokratuottolaskuri'!$C$29),0,0)</f>
        <v>209.63805404269655</v>
      </c>
      <c r="F176" s="15">
        <f>E176-(D176*('Edistynyt vuokratuottolaskuri'!$C$33/12))</f>
        <v>185.64144555654505</v>
      </c>
      <c r="G176" s="15">
        <f>IF(Lyhennystapa="Annuiteetti",(D176-F176),IF(Lyhennystapa="Tasalyhennys",(D176-'Edistynyt vuokratuottolaskuri'!$C$38),IF(Lyhennystapa="Bullet",D175,"")))</f>
        <v>14212.323646134353</v>
      </c>
      <c r="H176" s="15">
        <f t="shared" si="18"/>
        <v>0</v>
      </c>
      <c r="I176" s="15">
        <f>-PMT(('Edistynyt vuokratuottolaskuri'!$C$18/12),('Edistynyt vuokratuottolaskuri'!$C$19*12),('Edistynyt vuokratuottolaskuri'!$C$17),0,0)</f>
        <v>110.41614461107285</v>
      </c>
      <c r="J176" s="15">
        <f>I176-(H176*('Edistynyt vuokratuottolaskuri'!$C$18/12))</f>
        <v>110.41614461107285</v>
      </c>
      <c r="K176" s="15">
        <f t="shared" si="17"/>
        <v>0</v>
      </c>
      <c r="L176" s="15">
        <f t="shared" si="16"/>
        <v>14212.323646134353</v>
      </c>
      <c r="M176" s="15">
        <f>'Edistynyt vuokratuottolaskuri'!$C$6-K176-G176</f>
        <v>57787.676353865645</v>
      </c>
      <c r="N176" s="15">
        <f>$N$164+(('Edistynyt vuokratuottolaskuri'!$I$7+$N$164)*'Edistynyt vuokratuottolaskuri'!$C$9*(1-'Edistynyt vuokratuottolaskuri'!$C$41))</f>
        <v>0</v>
      </c>
      <c r="O176" s="15">
        <f>-'Edistynyt vuokratuottolaskuri'!$C$10*('Edistynyt vuokratuottolaskuri'!$I$7+N176-('Edistynyt vuokratuottolaskuri'!$I$17-(N176*Veroaste)))/12</f>
        <v>0</v>
      </c>
      <c r="P176" s="15">
        <f>P175+'Edistynyt vuokratuottolaskuri'!$I$19+N176+O176</f>
        <v>5256.8283145648375</v>
      </c>
      <c r="Q176" s="15">
        <f>IF(P175&gt;0,(P175*('Edistynyt vuokratuottolaskuri'!$F$7/12)),0)</f>
        <v>28.312767843957118</v>
      </c>
      <c r="R176" s="15"/>
      <c r="S176" s="15"/>
      <c r="T176" s="15"/>
      <c r="U176" s="15"/>
      <c r="V176" s="15"/>
      <c r="W176" s="15">
        <f>W175+'Edistynyt vuokratuottolaskuri'!$I$19+Q176+N176</f>
        <v>7635.100813457223</v>
      </c>
    </row>
    <row r="177" spans="1:24" x14ac:dyDescent="0.2">
      <c r="A177" s="2" t="s">
        <v>49</v>
      </c>
      <c r="B177" s="2">
        <v>169</v>
      </c>
      <c r="C177" s="15">
        <f>C165+('Edistynyt vuokratuottolaskuri'!$C$52*C165)</f>
        <v>88509.514419296916</v>
      </c>
      <c r="D177" s="15">
        <f t="shared" si="15"/>
        <v>14212.323646134353</v>
      </c>
      <c r="E177" s="15">
        <f>-PMT(('Edistynyt vuokratuottolaskuri'!$C$33/12),('Edistynyt vuokratuottolaskuri'!$C$34*12),('Edistynyt vuokratuottolaskuri'!$C$29),0,0)</f>
        <v>209.63805404269655</v>
      </c>
      <c r="F177" s="15">
        <f>E177-(D177*('Edistynyt vuokratuottolaskuri'!$C$33/12))</f>
        <v>185.95084796580596</v>
      </c>
      <c r="G177" s="15">
        <f>IF(Lyhennystapa="Annuiteetti",(D177-F177),IF(Lyhennystapa="Tasalyhennys",(D177-'Edistynyt vuokratuottolaskuri'!$C$38),IF(Lyhennystapa="Bullet",D176,"")))</f>
        <v>14026.372798168548</v>
      </c>
      <c r="H177" s="15">
        <f t="shared" si="18"/>
        <v>0</v>
      </c>
      <c r="I177" s="15">
        <f>-PMT(('Edistynyt vuokratuottolaskuri'!$C$18/12),('Edistynyt vuokratuottolaskuri'!$C$19*12),('Edistynyt vuokratuottolaskuri'!$C$17),0,0)</f>
        <v>110.41614461107285</v>
      </c>
      <c r="J177" s="15">
        <f>I177-(H177*('Edistynyt vuokratuottolaskuri'!$C$18/12))</f>
        <v>110.41614461107285</v>
      </c>
      <c r="K177" s="15">
        <f t="shared" si="17"/>
        <v>0</v>
      </c>
      <c r="L177" s="15">
        <f t="shared" si="16"/>
        <v>14026.372798168548</v>
      </c>
      <c r="M177" s="15">
        <f>'Edistynyt vuokratuottolaskuri'!$C$6-K177-G177</f>
        <v>57973.627201831448</v>
      </c>
      <c r="N177" s="15">
        <f>$N$176+(('Edistynyt vuokratuottolaskuri'!$I$7+$N$176)*'Edistynyt vuokratuottolaskuri'!$C$9*(1-'Edistynyt vuokratuottolaskuri'!$C$41))</f>
        <v>0</v>
      </c>
      <c r="O177" s="15">
        <f>-'Edistynyt vuokratuottolaskuri'!$C$10*('Edistynyt vuokratuottolaskuri'!$I$7+N177-('Edistynyt vuokratuottolaskuri'!$I$17-(N177*Veroaste)))/12</f>
        <v>0</v>
      </c>
      <c r="P177" s="15">
        <f>P176+'Edistynyt vuokratuottolaskuri'!$I$19+N177+O177</f>
        <v>5288.1189592943902</v>
      </c>
      <c r="Q177" s="15">
        <f>IF(P176&gt;0,(P176*('Edistynyt vuokratuottolaskuri'!$F$7/12)),0)</f>
        <v>28.482305375956862</v>
      </c>
      <c r="R177" s="15">
        <f>P176</f>
        <v>5256.8283145648375</v>
      </c>
      <c r="S177" s="15">
        <f>(IF(C177&gt;=$C$9,C177,$C$9))-L176-'Edistynyt vuokratuottolaskuri'!$C$28</f>
        <v>54297.190773162569</v>
      </c>
      <c r="T177" s="15">
        <f>R177+S177</f>
        <v>59554.019087727407</v>
      </c>
      <c r="U177" s="15">
        <f>(R165+(S165*'Edistynyt vuokratuottolaskuri'!$C$42)+U165)*0.1+U165</f>
        <v>47947.529978196042</v>
      </c>
      <c r="V177" s="15">
        <f>T177+U177</f>
        <v>107501.54906592345</v>
      </c>
      <c r="W177" s="15">
        <f>W176+'Edistynyt vuokratuottolaskuri'!$I$19+Q177+N177</f>
        <v>7694.8737635627322</v>
      </c>
      <c r="X177" s="15"/>
    </row>
    <row r="178" spans="1:24" x14ac:dyDescent="0.2">
      <c r="B178" s="2">
        <v>170</v>
      </c>
      <c r="C178" s="15">
        <f>C166+('Edistynyt vuokratuottolaskuri'!$C$52*C166)</f>
        <v>88509.514419296916</v>
      </c>
      <c r="D178" s="15">
        <f t="shared" si="15"/>
        <v>14026.372798168548</v>
      </c>
      <c r="E178" s="15">
        <f>-PMT(('Edistynyt vuokratuottolaskuri'!$C$33/12),('Edistynyt vuokratuottolaskuri'!$C$34*12),('Edistynyt vuokratuottolaskuri'!$C$29),0,0)</f>
        <v>209.63805404269655</v>
      </c>
      <c r="F178" s="15">
        <f>E178-(D178*('Edistynyt vuokratuottolaskuri'!$C$33/12))</f>
        <v>186.26076604574897</v>
      </c>
      <c r="G178" s="15">
        <f>IF(Lyhennystapa="Annuiteetti",(D178-F178),IF(Lyhennystapa="Tasalyhennys",(D178-'Edistynyt vuokratuottolaskuri'!$C$38),IF(Lyhennystapa="Bullet",D177,"")))</f>
        <v>13840.112032122799</v>
      </c>
      <c r="H178" s="15">
        <f t="shared" si="18"/>
        <v>0</v>
      </c>
      <c r="I178" s="15">
        <f>-PMT(('Edistynyt vuokratuottolaskuri'!$C$18/12),('Edistynyt vuokratuottolaskuri'!$C$19*12),('Edistynyt vuokratuottolaskuri'!$C$17),0,0)</f>
        <v>110.41614461107285</v>
      </c>
      <c r="J178" s="15">
        <f>I178-(H178*('Edistynyt vuokratuottolaskuri'!$C$18/12))</f>
        <v>110.41614461107285</v>
      </c>
      <c r="K178" s="15">
        <f t="shared" si="17"/>
        <v>0</v>
      </c>
      <c r="L178" s="15">
        <f t="shared" si="16"/>
        <v>13840.112032122799</v>
      </c>
      <c r="M178" s="15">
        <f>'Edistynyt vuokratuottolaskuri'!$C$6-K178-G178</f>
        <v>58159.887967877199</v>
      </c>
      <c r="N178" s="15">
        <f>$N$176+(('Edistynyt vuokratuottolaskuri'!$I$7+$N$176)*'Edistynyt vuokratuottolaskuri'!$C$9*(1-'Edistynyt vuokratuottolaskuri'!$C$41))</f>
        <v>0</v>
      </c>
      <c r="O178" s="15">
        <f>-'Edistynyt vuokratuottolaskuri'!$C$10*('Edistynyt vuokratuottolaskuri'!$I$7+N178-('Edistynyt vuokratuottolaskuri'!$I$17-(N178*Veroaste)))/12</f>
        <v>0</v>
      </c>
      <c r="P178" s="15">
        <f>P177+'Edistynyt vuokratuottolaskuri'!$I$19+N178+O178</f>
        <v>5319.4096040239428</v>
      </c>
      <c r="Q178" s="15">
        <f>IF(P177&gt;0,(P177*('Edistynyt vuokratuottolaskuri'!$F$7/12)),0)</f>
        <v>28.651842907956606</v>
      </c>
      <c r="R178" s="15"/>
      <c r="S178" s="15"/>
      <c r="T178" s="15"/>
      <c r="U178" s="15"/>
      <c r="V178" s="15"/>
      <c r="W178" s="15">
        <f>W177+'Edistynyt vuokratuottolaskuri'!$I$19+Q178+N178</f>
        <v>7754.8162512002418</v>
      </c>
    </row>
    <row r="179" spans="1:24" x14ac:dyDescent="0.2">
      <c r="B179" s="2">
        <v>171</v>
      </c>
      <c r="C179" s="15">
        <f>C167+('Edistynyt vuokratuottolaskuri'!$C$52*C167)</f>
        <v>88509.514419296916</v>
      </c>
      <c r="D179" s="15">
        <f t="shared" si="15"/>
        <v>13840.112032122799</v>
      </c>
      <c r="E179" s="15">
        <f>-PMT(('Edistynyt vuokratuottolaskuri'!$C$33/12),('Edistynyt vuokratuottolaskuri'!$C$34*12),('Edistynyt vuokratuottolaskuri'!$C$29),0,0)</f>
        <v>209.63805404269655</v>
      </c>
      <c r="F179" s="15">
        <f>E179-(D179*('Edistynyt vuokratuottolaskuri'!$C$33/12))</f>
        <v>186.57120065582521</v>
      </c>
      <c r="G179" s="15">
        <f>IF(Lyhennystapa="Annuiteetti",(D179-F179),IF(Lyhennystapa="Tasalyhennys",(D179-'Edistynyt vuokratuottolaskuri'!$C$38),IF(Lyhennystapa="Bullet",D178,"")))</f>
        <v>13653.540831466973</v>
      </c>
      <c r="H179" s="15">
        <f t="shared" si="18"/>
        <v>0</v>
      </c>
      <c r="I179" s="15">
        <f>-PMT(('Edistynyt vuokratuottolaskuri'!$C$18/12),('Edistynyt vuokratuottolaskuri'!$C$19*12),('Edistynyt vuokratuottolaskuri'!$C$17),0,0)</f>
        <v>110.41614461107285</v>
      </c>
      <c r="J179" s="15">
        <f>I179-(H179*('Edistynyt vuokratuottolaskuri'!$C$18/12))</f>
        <v>110.41614461107285</v>
      </c>
      <c r="K179" s="15">
        <f t="shared" si="17"/>
        <v>0</v>
      </c>
      <c r="L179" s="15">
        <f t="shared" si="16"/>
        <v>13653.540831466973</v>
      </c>
      <c r="M179" s="15">
        <f>'Edistynyt vuokratuottolaskuri'!$C$6-K179-G179</f>
        <v>58346.459168533023</v>
      </c>
      <c r="N179" s="15">
        <f>$N$176+(('Edistynyt vuokratuottolaskuri'!$I$7+$N$176)*'Edistynyt vuokratuottolaskuri'!$C$9*(1-'Edistynyt vuokratuottolaskuri'!$C$41))</f>
        <v>0</v>
      </c>
      <c r="O179" s="15">
        <f>-'Edistynyt vuokratuottolaskuri'!$C$10*('Edistynyt vuokratuottolaskuri'!$I$7+N179-('Edistynyt vuokratuottolaskuri'!$I$17-(N179*Veroaste)))/12</f>
        <v>0</v>
      </c>
      <c r="P179" s="15">
        <f>P178+'Edistynyt vuokratuottolaskuri'!$I$19+N179+O179</f>
        <v>5350.7002487534955</v>
      </c>
      <c r="Q179" s="15">
        <f>IF(P178&gt;0,(P178*('Edistynyt vuokratuottolaskuri'!$F$7/12)),0)</f>
        <v>28.82138043995635</v>
      </c>
      <c r="R179" s="15"/>
      <c r="S179" s="15"/>
      <c r="T179" s="15"/>
      <c r="U179" s="15"/>
      <c r="V179" s="15"/>
      <c r="W179" s="15">
        <f>W178+'Edistynyt vuokratuottolaskuri'!$I$19+Q179+N179</f>
        <v>7814.9282763697511</v>
      </c>
    </row>
    <row r="180" spans="1:24" x14ac:dyDescent="0.2">
      <c r="B180" s="2">
        <v>172</v>
      </c>
      <c r="C180" s="15">
        <f>C168+('Edistynyt vuokratuottolaskuri'!$C$52*C168)</f>
        <v>88509.514419296916</v>
      </c>
      <c r="D180" s="15">
        <f t="shared" si="15"/>
        <v>13653.540831466973</v>
      </c>
      <c r="E180" s="15">
        <f>-PMT(('Edistynyt vuokratuottolaskuri'!$C$33/12),('Edistynyt vuokratuottolaskuri'!$C$34*12),('Edistynyt vuokratuottolaskuri'!$C$29),0,0)</f>
        <v>209.63805404269655</v>
      </c>
      <c r="F180" s="15">
        <f>E180-(D180*('Edistynyt vuokratuottolaskuri'!$C$33/12))</f>
        <v>186.88215265691827</v>
      </c>
      <c r="G180" s="15">
        <f>IF(Lyhennystapa="Annuiteetti",(D180-F180),IF(Lyhennystapa="Tasalyhennys",(D180-'Edistynyt vuokratuottolaskuri'!$C$38),IF(Lyhennystapa="Bullet",D179,"")))</f>
        <v>13466.658678810054</v>
      </c>
      <c r="H180" s="15">
        <f t="shared" si="18"/>
        <v>0</v>
      </c>
      <c r="I180" s="15">
        <f>-PMT(('Edistynyt vuokratuottolaskuri'!$C$18/12),('Edistynyt vuokratuottolaskuri'!$C$19*12),('Edistynyt vuokratuottolaskuri'!$C$17),0,0)</f>
        <v>110.41614461107285</v>
      </c>
      <c r="J180" s="15">
        <f>I180-(H180*('Edistynyt vuokratuottolaskuri'!$C$18/12))</f>
        <v>110.41614461107285</v>
      </c>
      <c r="K180" s="15">
        <f t="shared" si="17"/>
        <v>0</v>
      </c>
      <c r="L180" s="15">
        <f t="shared" si="16"/>
        <v>13466.658678810054</v>
      </c>
      <c r="M180" s="15">
        <f>'Edistynyt vuokratuottolaskuri'!$C$6-K180-G180</f>
        <v>58533.341321189946</v>
      </c>
      <c r="N180" s="15">
        <f>$N$176+(('Edistynyt vuokratuottolaskuri'!$I$7+$N$176)*'Edistynyt vuokratuottolaskuri'!$C$9*(1-'Edistynyt vuokratuottolaskuri'!$C$41))</f>
        <v>0</v>
      </c>
      <c r="O180" s="15">
        <f>-'Edistynyt vuokratuottolaskuri'!$C$10*('Edistynyt vuokratuottolaskuri'!$I$7+N180-('Edistynyt vuokratuottolaskuri'!$I$17-(N180*Veroaste)))/12</f>
        <v>0</v>
      </c>
      <c r="P180" s="15">
        <f>P179+'Edistynyt vuokratuottolaskuri'!$I$19+N180+O180</f>
        <v>5381.9908934830482</v>
      </c>
      <c r="Q180" s="15">
        <f>IF(P179&gt;0,(P179*('Edistynyt vuokratuottolaskuri'!$F$7/12)),0)</f>
        <v>28.990917971956094</v>
      </c>
      <c r="R180" s="15"/>
      <c r="S180" s="15"/>
      <c r="T180" s="15"/>
      <c r="U180" s="15"/>
      <c r="V180" s="15"/>
      <c r="W180" s="15">
        <f>W179+'Edistynyt vuokratuottolaskuri'!$I$19+Q180+N180</f>
        <v>7875.2098390712599</v>
      </c>
    </row>
    <row r="181" spans="1:24" x14ac:dyDescent="0.2">
      <c r="B181" s="2">
        <v>173</v>
      </c>
      <c r="C181" s="15">
        <f>C169+('Edistynyt vuokratuottolaskuri'!$C$52*C169)</f>
        <v>88509.514419296916</v>
      </c>
      <c r="D181" s="15">
        <f t="shared" ref="D181:D244" si="20">G180</f>
        <v>13466.658678810054</v>
      </c>
      <c r="E181" s="15">
        <f>-PMT(('Edistynyt vuokratuottolaskuri'!$C$33/12),('Edistynyt vuokratuottolaskuri'!$C$34*12),('Edistynyt vuokratuottolaskuri'!$C$29),0,0)</f>
        <v>209.63805404269655</v>
      </c>
      <c r="F181" s="15">
        <f>E181-(D181*('Edistynyt vuokratuottolaskuri'!$C$33/12))</f>
        <v>187.19362291134647</v>
      </c>
      <c r="G181" s="15">
        <f>IF(Lyhennystapa="Annuiteetti",(D181-F181),IF(Lyhennystapa="Tasalyhennys",(D181-'Edistynyt vuokratuottolaskuri'!$C$38),IF(Lyhennystapa="Bullet",D180,"")))</f>
        <v>13279.465055898707</v>
      </c>
      <c r="H181" s="15">
        <f t="shared" si="18"/>
        <v>0</v>
      </c>
      <c r="I181" s="15">
        <f>-PMT(('Edistynyt vuokratuottolaskuri'!$C$18/12),('Edistynyt vuokratuottolaskuri'!$C$19*12),('Edistynyt vuokratuottolaskuri'!$C$17),0,0)</f>
        <v>110.41614461107285</v>
      </c>
      <c r="J181" s="15">
        <f>I181-(H181*('Edistynyt vuokratuottolaskuri'!$C$18/12))</f>
        <v>110.41614461107285</v>
      </c>
      <c r="K181" s="15">
        <f t="shared" si="17"/>
        <v>0</v>
      </c>
      <c r="L181" s="15">
        <f t="shared" si="16"/>
        <v>13279.465055898707</v>
      </c>
      <c r="M181" s="15">
        <f>'Edistynyt vuokratuottolaskuri'!$C$6-K181-G181</f>
        <v>58720.534944101295</v>
      </c>
      <c r="N181" s="15">
        <f>$N$176+(('Edistynyt vuokratuottolaskuri'!$I$7+$N$176)*'Edistynyt vuokratuottolaskuri'!$C$9*(1-'Edistynyt vuokratuottolaskuri'!$C$41))</f>
        <v>0</v>
      </c>
      <c r="O181" s="15">
        <f>-'Edistynyt vuokratuottolaskuri'!$C$10*('Edistynyt vuokratuottolaskuri'!$I$7+N181-('Edistynyt vuokratuottolaskuri'!$I$17-(N181*Veroaste)))/12</f>
        <v>0</v>
      </c>
      <c r="P181" s="15">
        <f>P180+'Edistynyt vuokratuottolaskuri'!$I$19+N181+O181</f>
        <v>5413.2815382126009</v>
      </c>
      <c r="Q181" s="15">
        <f>IF(P180&gt;0,(P180*('Edistynyt vuokratuottolaskuri'!$F$7/12)),0)</f>
        <v>29.160455503955838</v>
      </c>
      <c r="R181" s="15"/>
      <c r="S181" s="15"/>
      <c r="T181" s="15"/>
      <c r="U181" s="15"/>
      <c r="V181" s="15"/>
      <c r="W181" s="15">
        <f>W180+'Edistynyt vuokratuottolaskuri'!$I$19+Q181+N181</f>
        <v>7935.6609393047684</v>
      </c>
    </row>
    <row r="182" spans="1:24" x14ac:dyDescent="0.2">
      <c r="B182" s="2">
        <v>174</v>
      </c>
      <c r="C182" s="15">
        <f>C170+('Edistynyt vuokratuottolaskuri'!$C$52*C170)</f>
        <v>88509.514419296916</v>
      </c>
      <c r="D182" s="15">
        <f t="shared" si="20"/>
        <v>13279.465055898707</v>
      </c>
      <c r="E182" s="15">
        <f>-PMT(('Edistynyt vuokratuottolaskuri'!$C$33/12),('Edistynyt vuokratuottolaskuri'!$C$34*12),('Edistynyt vuokratuottolaskuri'!$C$29),0,0)</f>
        <v>209.63805404269655</v>
      </c>
      <c r="F182" s="15">
        <f>E182-(D182*('Edistynyt vuokratuottolaskuri'!$C$33/12))</f>
        <v>187.50561228286537</v>
      </c>
      <c r="G182" s="15">
        <f>IF(Lyhennystapa="Annuiteetti",(D182-F182),IF(Lyhennystapa="Tasalyhennys",(D182-'Edistynyt vuokratuottolaskuri'!$C$38),IF(Lyhennystapa="Bullet",D181,"")))</f>
        <v>13091.959443615842</v>
      </c>
      <c r="H182" s="15">
        <f t="shared" si="18"/>
        <v>0</v>
      </c>
      <c r="I182" s="15">
        <f>-PMT(('Edistynyt vuokratuottolaskuri'!$C$18/12),('Edistynyt vuokratuottolaskuri'!$C$19*12),('Edistynyt vuokratuottolaskuri'!$C$17),0,0)</f>
        <v>110.41614461107285</v>
      </c>
      <c r="J182" s="15">
        <f>I182-(H182*('Edistynyt vuokratuottolaskuri'!$C$18/12))</f>
        <v>110.41614461107285</v>
      </c>
      <c r="K182" s="15">
        <f t="shared" si="17"/>
        <v>0</v>
      </c>
      <c r="L182" s="15">
        <f t="shared" si="16"/>
        <v>13091.959443615842</v>
      </c>
      <c r="M182" s="15">
        <f>'Edistynyt vuokratuottolaskuri'!$C$6-K182-G182</f>
        <v>58908.040556384156</v>
      </c>
      <c r="N182" s="15">
        <f>$N$176+(('Edistynyt vuokratuottolaskuri'!$I$7+$N$176)*'Edistynyt vuokratuottolaskuri'!$C$9*(1-'Edistynyt vuokratuottolaskuri'!$C$41))</f>
        <v>0</v>
      </c>
      <c r="O182" s="15">
        <f>-'Edistynyt vuokratuottolaskuri'!$C$10*('Edistynyt vuokratuottolaskuri'!$I$7+N182-('Edistynyt vuokratuottolaskuri'!$I$17-(N182*Veroaste)))/12</f>
        <v>0</v>
      </c>
      <c r="P182" s="15">
        <f>P181+'Edistynyt vuokratuottolaskuri'!$I$19+N182+O182</f>
        <v>5444.5721829421536</v>
      </c>
      <c r="Q182" s="15">
        <f>IF(P181&gt;0,(P181*('Edistynyt vuokratuottolaskuri'!$F$7/12)),0)</f>
        <v>29.329993035955582</v>
      </c>
      <c r="R182" s="15"/>
      <c r="S182" s="15"/>
      <c r="T182" s="15"/>
      <c r="U182" s="15"/>
      <c r="V182" s="15"/>
      <c r="W182" s="15">
        <f>W181+'Edistynyt vuokratuottolaskuri'!$I$19+Q182+N182</f>
        <v>7996.2815770702764</v>
      </c>
    </row>
    <row r="183" spans="1:24" x14ac:dyDescent="0.2">
      <c r="B183" s="2">
        <v>175</v>
      </c>
      <c r="C183" s="15">
        <f>C171+('Edistynyt vuokratuottolaskuri'!$C$52*C171)</f>
        <v>88509.514419296916</v>
      </c>
      <c r="D183" s="15">
        <f t="shared" si="20"/>
        <v>13091.959443615842</v>
      </c>
      <c r="E183" s="15">
        <f>-PMT(('Edistynyt vuokratuottolaskuri'!$C$33/12),('Edistynyt vuokratuottolaskuri'!$C$34*12),('Edistynyt vuokratuottolaskuri'!$C$29),0,0)</f>
        <v>209.63805404269655</v>
      </c>
      <c r="F183" s="15">
        <f>E183-(D183*('Edistynyt vuokratuottolaskuri'!$C$33/12))</f>
        <v>187.81812163667016</v>
      </c>
      <c r="G183" s="15">
        <f>IF(Lyhennystapa="Annuiteetti",(D183-F183),IF(Lyhennystapa="Tasalyhennys",(D183-'Edistynyt vuokratuottolaskuri'!$C$38),IF(Lyhennystapa="Bullet",D182,"")))</f>
        <v>12904.141321979172</v>
      </c>
      <c r="H183" s="15">
        <f t="shared" si="18"/>
        <v>0</v>
      </c>
      <c r="I183" s="15">
        <f>-PMT(('Edistynyt vuokratuottolaskuri'!$C$18/12),('Edistynyt vuokratuottolaskuri'!$C$19*12),('Edistynyt vuokratuottolaskuri'!$C$17),0,0)</f>
        <v>110.41614461107285</v>
      </c>
      <c r="J183" s="15">
        <f>I183-(H183*('Edistynyt vuokratuottolaskuri'!$C$18/12))</f>
        <v>110.41614461107285</v>
      </c>
      <c r="K183" s="15">
        <f t="shared" si="17"/>
        <v>0</v>
      </c>
      <c r="L183" s="15">
        <f t="shared" si="16"/>
        <v>12904.141321979172</v>
      </c>
      <c r="M183" s="15">
        <f>'Edistynyt vuokratuottolaskuri'!$C$6-K183-G183</f>
        <v>59095.858678020828</v>
      </c>
      <c r="N183" s="15">
        <f>$N$176+(('Edistynyt vuokratuottolaskuri'!$I$7+$N$176)*'Edistynyt vuokratuottolaskuri'!$C$9*(1-'Edistynyt vuokratuottolaskuri'!$C$41))</f>
        <v>0</v>
      </c>
      <c r="O183" s="15">
        <f>-'Edistynyt vuokratuottolaskuri'!$C$10*('Edistynyt vuokratuottolaskuri'!$I$7+N183-('Edistynyt vuokratuottolaskuri'!$I$17-(N183*Veroaste)))/12</f>
        <v>0</v>
      </c>
      <c r="P183" s="15">
        <f>P182+'Edistynyt vuokratuottolaskuri'!$I$19+N183+O183</f>
        <v>5475.8628276717063</v>
      </c>
      <c r="Q183" s="15">
        <f>IF(P182&gt;0,(P182*('Edistynyt vuokratuottolaskuri'!$F$7/12)),0)</f>
        <v>29.499530567955325</v>
      </c>
      <c r="R183" s="15"/>
      <c r="S183" s="15"/>
      <c r="T183" s="15"/>
      <c r="U183" s="15"/>
      <c r="V183" s="15"/>
      <c r="W183" s="15">
        <f>W182+'Edistynyt vuokratuottolaskuri'!$I$19+Q183+N183</f>
        <v>8057.071752367784</v>
      </c>
    </row>
    <row r="184" spans="1:24" x14ac:dyDescent="0.2">
      <c r="B184" s="2">
        <v>176</v>
      </c>
      <c r="C184" s="15">
        <f>C172+('Edistynyt vuokratuottolaskuri'!$C$52*C172)</f>
        <v>88509.514419296916</v>
      </c>
      <c r="D184" s="15">
        <f t="shared" si="20"/>
        <v>12904.141321979172</v>
      </c>
      <c r="E184" s="15">
        <f>-PMT(('Edistynyt vuokratuottolaskuri'!$C$33/12),('Edistynyt vuokratuottolaskuri'!$C$34*12),('Edistynyt vuokratuottolaskuri'!$C$29),0,0)</f>
        <v>209.63805404269655</v>
      </c>
      <c r="F184" s="15">
        <f>E184-(D184*('Edistynyt vuokratuottolaskuri'!$C$33/12))</f>
        <v>188.13115183939794</v>
      </c>
      <c r="G184" s="15">
        <f>IF(Lyhennystapa="Annuiteetti",(D184-F184),IF(Lyhennystapa="Tasalyhennys",(D184-'Edistynyt vuokratuottolaskuri'!$C$38),IF(Lyhennystapa="Bullet",D183,"")))</f>
        <v>12716.010170139774</v>
      </c>
      <c r="H184" s="15">
        <f t="shared" si="18"/>
        <v>0</v>
      </c>
      <c r="I184" s="15">
        <f>-PMT(('Edistynyt vuokratuottolaskuri'!$C$18/12),('Edistynyt vuokratuottolaskuri'!$C$19*12),('Edistynyt vuokratuottolaskuri'!$C$17),0,0)</f>
        <v>110.41614461107285</v>
      </c>
      <c r="J184" s="15">
        <f>I184-(H184*('Edistynyt vuokratuottolaskuri'!$C$18/12))</f>
        <v>110.41614461107285</v>
      </c>
      <c r="K184" s="15">
        <f t="shared" si="17"/>
        <v>0</v>
      </c>
      <c r="L184" s="15">
        <f t="shared" si="16"/>
        <v>12716.010170139774</v>
      </c>
      <c r="M184" s="15">
        <f>'Edistynyt vuokratuottolaskuri'!$C$6-K184-G184</f>
        <v>59283.989829860227</v>
      </c>
      <c r="N184" s="15">
        <f>$N$176+(('Edistynyt vuokratuottolaskuri'!$I$7+$N$176)*'Edistynyt vuokratuottolaskuri'!$C$9*(1-'Edistynyt vuokratuottolaskuri'!$C$41))</f>
        <v>0</v>
      </c>
      <c r="O184" s="15">
        <f>-'Edistynyt vuokratuottolaskuri'!$C$10*('Edistynyt vuokratuottolaskuri'!$I$7+N184-('Edistynyt vuokratuottolaskuri'!$I$17-(N184*Veroaste)))/12</f>
        <v>0</v>
      </c>
      <c r="P184" s="15">
        <f>P183+'Edistynyt vuokratuottolaskuri'!$I$19+N184+O184</f>
        <v>5507.153472401259</v>
      </c>
      <c r="Q184" s="15">
        <f>IF(P183&gt;0,(P183*('Edistynyt vuokratuottolaskuri'!$F$7/12)),0)</f>
        <v>29.669068099955069</v>
      </c>
      <c r="R184" s="15"/>
      <c r="S184" s="15"/>
      <c r="T184" s="15"/>
      <c r="U184" s="15"/>
      <c r="V184" s="15"/>
      <c r="W184" s="15">
        <f>W183+'Edistynyt vuokratuottolaskuri'!$I$19+Q184+N184</f>
        <v>8118.0314651972922</v>
      </c>
    </row>
    <row r="185" spans="1:24" x14ac:dyDescent="0.2">
      <c r="B185" s="2">
        <v>177</v>
      </c>
      <c r="C185" s="15">
        <f>C173+('Edistynyt vuokratuottolaskuri'!$C$52*C173)</f>
        <v>88509.514419296916</v>
      </c>
      <c r="D185" s="15">
        <f t="shared" si="20"/>
        <v>12716.010170139774</v>
      </c>
      <c r="E185" s="15">
        <f>-PMT(('Edistynyt vuokratuottolaskuri'!$C$33/12),('Edistynyt vuokratuottolaskuri'!$C$34*12),('Edistynyt vuokratuottolaskuri'!$C$29),0,0)</f>
        <v>209.63805404269655</v>
      </c>
      <c r="F185" s="15">
        <f>E185-(D185*('Edistynyt vuokratuottolaskuri'!$C$33/12))</f>
        <v>188.44470375913025</v>
      </c>
      <c r="G185" s="15">
        <f>IF(Lyhennystapa="Annuiteetti",(D185-F185),IF(Lyhennystapa="Tasalyhennys",(D185-'Edistynyt vuokratuottolaskuri'!$C$38),IF(Lyhennystapa="Bullet",D184,"")))</f>
        <v>12527.565466380644</v>
      </c>
      <c r="H185" s="15">
        <f t="shared" si="18"/>
        <v>0</v>
      </c>
      <c r="I185" s="15">
        <f>-PMT(('Edistynyt vuokratuottolaskuri'!$C$18/12),('Edistynyt vuokratuottolaskuri'!$C$19*12),('Edistynyt vuokratuottolaskuri'!$C$17),0,0)</f>
        <v>110.41614461107285</v>
      </c>
      <c r="J185" s="15">
        <f>I185-(H185*('Edistynyt vuokratuottolaskuri'!$C$18/12))</f>
        <v>110.41614461107285</v>
      </c>
      <c r="K185" s="15">
        <f t="shared" si="17"/>
        <v>0</v>
      </c>
      <c r="L185" s="15">
        <f t="shared" si="16"/>
        <v>12527.565466380644</v>
      </c>
      <c r="M185" s="15">
        <f>'Edistynyt vuokratuottolaskuri'!$C$6-K185-G185</f>
        <v>59472.434533619358</v>
      </c>
      <c r="N185" s="15">
        <f>$N$176+(('Edistynyt vuokratuottolaskuri'!$I$7+$N$176)*'Edistynyt vuokratuottolaskuri'!$C$9*(1-'Edistynyt vuokratuottolaskuri'!$C$41))</f>
        <v>0</v>
      </c>
      <c r="O185" s="15">
        <f>-'Edistynyt vuokratuottolaskuri'!$C$10*('Edistynyt vuokratuottolaskuri'!$I$7+N185-('Edistynyt vuokratuottolaskuri'!$I$17-(N185*Veroaste)))/12</f>
        <v>0</v>
      </c>
      <c r="P185" s="15">
        <f>P184+'Edistynyt vuokratuottolaskuri'!$I$19+N185+O185</f>
        <v>5538.4441171308117</v>
      </c>
      <c r="Q185" s="15">
        <f>IF(P184&gt;0,(P184*('Edistynyt vuokratuottolaskuri'!$F$7/12)),0)</f>
        <v>29.83860563195481</v>
      </c>
      <c r="R185" s="15"/>
      <c r="S185" s="15"/>
      <c r="T185" s="15"/>
      <c r="U185" s="15"/>
      <c r="V185" s="15"/>
      <c r="W185" s="15">
        <f>W184+'Edistynyt vuokratuottolaskuri'!$I$19+Q185+N185</f>
        <v>8179.1607155587999</v>
      </c>
    </row>
    <row r="186" spans="1:24" x14ac:dyDescent="0.2">
      <c r="B186" s="2">
        <v>178</v>
      </c>
      <c r="C186" s="15">
        <f>C174+('Edistynyt vuokratuottolaskuri'!$C$52*C174)</f>
        <v>88509.514419296916</v>
      </c>
      <c r="D186" s="15">
        <f t="shared" si="20"/>
        <v>12527.565466380644</v>
      </c>
      <c r="E186" s="15">
        <f>-PMT(('Edistynyt vuokratuottolaskuri'!$C$33/12),('Edistynyt vuokratuottolaskuri'!$C$34*12),('Edistynyt vuokratuottolaskuri'!$C$29),0,0)</f>
        <v>209.63805404269655</v>
      </c>
      <c r="F186" s="15">
        <f>E186-(D186*('Edistynyt vuokratuottolaskuri'!$C$33/12))</f>
        <v>188.75877826539548</v>
      </c>
      <c r="G186" s="15">
        <f>IF(Lyhennystapa="Annuiteetti",(D186-F186),IF(Lyhennystapa="Tasalyhennys",(D186-'Edistynyt vuokratuottolaskuri'!$C$38),IF(Lyhennystapa="Bullet",D185,"")))</f>
        <v>12338.806688115248</v>
      </c>
      <c r="H186" s="15">
        <f t="shared" si="18"/>
        <v>0</v>
      </c>
      <c r="I186" s="15">
        <f>-PMT(('Edistynyt vuokratuottolaskuri'!$C$18/12),('Edistynyt vuokratuottolaskuri'!$C$19*12),('Edistynyt vuokratuottolaskuri'!$C$17),0,0)</f>
        <v>110.41614461107285</v>
      </c>
      <c r="J186" s="15">
        <f>I186-(H186*('Edistynyt vuokratuottolaskuri'!$C$18/12))</f>
        <v>110.41614461107285</v>
      </c>
      <c r="K186" s="15">
        <f t="shared" si="17"/>
        <v>0</v>
      </c>
      <c r="L186" s="15">
        <f t="shared" si="16"/>
        <v>12338.806688115248</v>
      </c>
      <c r="M186" s="15">
        <f>'Edistynyt vuokratuottolaskuri'!$C$6-K186-G186</f>
        <v>59661.193311884752</v>
      </c>
      <c r="N186" s="15">
        <f>$N$176+(('Edistynyt vuokratuottolaskuri'!$I$7+$N$176)*'Edistynyt vuokratuottolaskuri'!$C$9*(1-'Edistynyt vuokratuottolaskuri'!$C$41))</f>
        <v>0</v>
      </c>
      <c r="O186" s="15">
        <f>-'Edistynyt vuokratuottolaskuri'!$C$10*('Edistynyt vuokratuottolaskuri'!$I$7+N186-('Edistynyt vuokratuottolaskuri'!$I$17-(N186*Veroaste)))/12</f>
        <v>0</v>
      </c>
      <c r="P186" s="15">
        <f>P185+'Edistynyt vuokratuottolaskuri'!$I$19+N186+O186</f>
        <v>5569.7347618603644</v>
      </c>
      <c r="Q186" s="15">
        <f>IF(P185&gt;0,(P185*('Edistynyt vuokratuottolaskuri'!$F$7/12)),0)</f>
        <v>30.008143163954554</v>
      </c>
      <c r="R186" s="15"/>
      <c r="S186" s="15"/>
      <c r="T186" s="15"/>
      <c r="U186" s="15"/>
      <c r="V186" s="15"/>
      <c r="W186" s="15">
        <f>W185+'Edistynyt vuokratuottolaskuri'!$I$19+Q186+N186</f>
        <v>8240.4595034523063</v>
      </c>
    </row>
    <row r="187" spans="1:24" x14ac:dyDescent="0.2">
      <c r="B187" s="2">
        <v>179</v>
      </c>
      <c r="C187" s="15">
        <f>C175+('Edistynyt vuokratuottolaskuri'!$C$52*C175)</f>
        <v>88509.514419296916</v>
      </c>
      <c r="D187" s="15">
        <f t="shared" si="20"/>
        <v>12338.806688115248</v>
      </c>
      <c r="E187" s="15">
        <f>-PMT(('Edistynyt vuokratuottolaskuri'!$C$33/12),('Edistynyt vuokratuottolaskuri'!$C$34*12),('Edistynyt vuokratuottolaskuri'!$C$29),0,0)</f>
        <v>209.63805404269655</v>
      </c>
      <c r="F187" s="15">
        <f>E187-(D187*('Edistynyt vuokratuottolaskuri'!$C$33/12))</f>
        <v>189.07337622917115</v>
      </c>
      <c r="G187" s="15">
        <f>IF(Lyhennystapa="Annuiteetti",(D187-F187),IF(Lyhennystapa="Tasalyhennys",(D187-'Edistynyt vuokratuottolaskuri'!$C$38),IF(Lyhennystapa="Bullet",D186,"")))</f>
        <v>12149.733311886077</v>
      </c>
      <c r="H187" s="15">
        <f t="shared" si="18"/>
        <v>0</v>
      </c>
      <c r="I187" s="15">
        <f>-PMT(('Edistynyt vuokratuottolaskuri'!$C$18/12),('Edistynyt vuokratuottolaskuri'!$C$19*12),('Edistynyt vuokratuottolaskuri'!$C$17),0,0)</f>
        <v>110.41614461107285</v>
      </c>
      <c r="J187" s="15">
        <f>I187-(H187*('Edistynyt vuokratuottolaskuri'!$C$18/12))</f>
        <v>110.41614461107285</v>
      </c>
      <c r="K187" s="15">
        <f t="shared" si="17"/>
        <v>0</v>
      </c>
      <c r="L187" s="15">
        <f t="shared" si="16"/>
        <v>12149.733311886077</v>
      </c>
      <c r="M187" s="15">
        <f>'Edistynyt vuokratuottolaskuri'!$C$6-K187-G187</f>
        <v>59850.266688113923</v>
      </c>
      <c r="N187" s="15">
        <f>$N$176+(('Edistynyt vuokratuottolaskuri'!$I$7+$N$176)*'Edistynyt vuokratuottolaskuri'!$C$9*(1-'Edistynyt vuokratuottolaskuri'!$C$41))</f>
        <v>0</v>
      </c>
      <c r="O187" s="15">
        <f>-'Edistynyt vuokratuottolaskuri'!$C$10*('Edistynyt vuokratuottolaskuri'!$I$7+N187-('Edistynyt vuokratuottolaskuri'!$I$17-(N187*Veroaste)))/12</f>
        <v>0</v>
      </c>
      <c r="P187" s="15">
        <f>P186+'Edistynyt vuokratuottolaskuri'!$I$19+N187+O187</f>
        <v>5601.0254065899171</v>
      </c>
      <c r="Q187" s="15">
        <f>IF(P186&gt;0,(P186*('Edistynyt vuokratuottolaskuri'!$F$7/12)),0)</f>
        <v>30.177680695954297</v>
      </c>
      <c r="R187" s="15"/>
      <c r="S187" s="15"/>
      <c r="T187" s="15"/>
      <c r="U187" s="15"/>
      <c r="V187" s="15"/>
      <c r="W187" s="15">
        <f>W186+'Edistynyt vuokratuottolaskuri'!$I$19+Q187+N187</f>
        <v>8301.9278288778132</v>
      </c>
    </row>
    <row r="188" spans="1:24" x14ac:dyDescent="0.2">
      <c r="B188" s="2">
        <v>180</v>
      </c>
      <c r="C188" s="15">
        <f>C176+('Edistynyt vuokratuottolaskuri'!$C$52*C176)</f>
        <v>88509.514419296916</v>
      </c>
      <c r="D188" s="15">
        <f t="shared" si="20"/>
        <v>12149.733311886077</v>
      </c>
      <c r="E188" s="15">
        <f>-PMT(('Edistynyt vuokratuottolaskuri'!$C$33/12),('Edistynyt vuokratuottolaskuri'!$C$34*12),('Edistynyt vuokratuottolaskuri'!$C$29),0,0)</f>
        <v>209.63805404269655</v>
      </c>
      <c r="F188" s="15">
        <f>E188-(D188*('Edistynyt vuokratuottolaskuri'!$C$33/12))</f>
        <v>189.38849852288644</v>
      </c>
      <c r="G188" s="15">
        <f>IF(Lyhennystapa="Annuiteetti",(D188-F188),IF(Lyhennystapa="Tasalyhennys",(D188-'Edistynyt vuokratuottolaskuri'!$C$38),IF(Lyhennystapa="Bullet",D187,"")))</f>
        <v>11960.34481336319</v>
      </c>
      <c r="H188" s="15">
        <f t="shared" si="18"/>
        <v>0</v>
      </c>
      <c r="I188" s="15">
        <f>-PMT(('Edistynyt vuokratuottolaskuri'!$C$18/12),('Edistynyt vuokratuottolaskuri'!$C$19*12),('Edistynyt vuokratuottolaskuri'!$C$17),0,0)</f>
        <v>110.41614461107285</v>
      </c>
      <c r="J188" s="15">
        <f>I188-(H188*('Edistynyt vuokratuottolaskuri'!$C$18/12))</f>
        <v>110.41614461107285</v>
      </c>
      <c r="K188" s="15">
        <f t="shared" si="17"/>
        <v>0</v>
      </c>
      <c r="L188" s="15">
        <f t="shared" si="16"/>
        <v>11960.34481336319</v>
      </c>
      <c r="M188" s="15">
        <f>'Edistynyt vuokratuottolaskuri'!$C$6-K188-G188</f>
        <v>60039.65518663681</v>
      </c>
      <c r="N188" s="15">
        <f>$N$176+(('Edistynyt vuokratuottolaskuri'!$I$7+$N$176)*'Edistynyt vuokratuottolaskuri'!$C$9*(1-'Edistynyt vuokratuottolaskuri'!$C$41))</f>
        <v>0</v>
      </c>
      <c r="O188" s="15">
        <f>-'Edistynyt vuokratuottolaskuri'!$C$10*('Edistynyt vuokratuottolaskuri'!$I$7+N188-('Edistynyt vuokratuottolaskuri'!$I$17-(N188*Veroaste)))/12</f>
        <v>0</v>
      </c>
      <c r="P188" s="15">
        <f>P187+'Edistynyt vuokratuottolaskuri'!$I$19+N188+O188</f>
        <v>5632.3160513194698</v>
      </c>
      <c r="Q188" s="15">
        <f>IF(P187&gt;0,(P187*('Edistynyt vuokratuottolaskuri'!$F$7/12)),0)</f>
        <v>30.347218227954041</v>
      </c>
      <c r="R188" s="15"/>
      <c r="S188" s="15"/>
      <c r="T188" s="15"/>
      <c r="U188" s="15"/>
      <c r="V188" s="15"/>
      <c r="W188" s="15">
        <f>W187+'Edistynyt vuokratuottolaskuri'!$I$19+Q188+N188</f>
        <v>8363.5656918353197</v>
      </c>
    </row>
    <row r="189" spans="1:24" x14ac:dyDescent="0.2">
      <c r="A189" s="2" t="s">
        <v>50</v>
      </c>
      <c r="B189" s="2">
        <v>181</v>
      </c>
      <c r="C189" s="15">
        <f>C177+('Edistynyt vuokratuottolaskuri'!$C$52*C177)</f>
        <v>89394.609563489881</v>
      </c>
      <c r="D189" s="15">
        <f t="shared" si="20"/>
        <v>11960.34481336319</v>
      </c>
      <c r="E189" s="15">
        <f>-PMT(('Edistynyt vuokratuottolaskuri'!$C$33/12),('Edistynyt vuokratuottolaskuri'!$C$34*12),('Edistynyt vuokratuottolaskuri'!$C$29),0,0)</f>
        <v>209.63805404269655</v>
      </c>
      <c r="F189" s="15">
        <f>E189-(D189*('Edistynyt vuokratuottolaskuri'!$C$33/12))</f>
        <v>189.70414602042456</v>
      </c>
      <c r="G189" s="15">
        <f>IF(Lyhennystapa="Annuiteetti",(D189-F189),IF(Lyhennystapa="Tasalyhennys",(D189-'Edistynyt vuokratuottolaskuri'!$C$38),IF(Lyhennystapa="Bullet",D188,"")))</f>
        <v>11770.640667342766</v>
      </c>
      <c r="H189" s="15">
        <f t="shared" si="18"/>
        <v>0</v>
      </c>
      <c r="I189" s="15">
        <f>-PMT(('Edistynyt vuokratuottolaskuri'!$C$18/12),('Edistynyt vuokratuottolaskuri'!$C$19*12),('Edistynyt vuokratuottolaskuri'!$C$17),0,0)</f>
        <v>110.41614461107285</v>
      </c>
      <c r="J189" s="15">
        <f>I189-(H189*('Edistynyt vuokratuottolaskuri'!$C$18/12))</f>
        <v>110.41614461107285</v>
      </c>
      <c r="K189" s="15">
        <f t="shared" si="17"/>
        <v>0</v>
      </c>
      <c r="L189" s="15">
        <f t="shared" si="16"/>
        <v>11770.640667342766</v>
      </c>
      <c r="M189" s="15">
        <f>'Edistynyt vuokratuottolaskuri'!$C$6-K189-G189</f>
        <v>60229.35933265723</v>
      </c>
      <c r="N189" s="15">
        <f>$N$188+(('Edistynyt vuokratuottolaskuri'!$I$7+$N$188)*'Edistynyt vuokratuottolaskuri'!$C$9*(1-'Edistynyt vuokratuottolaskuri'!$C$41))</f>
        <v>0</v>
      </c>
      <c r="O189" s="15">
        <f>-'Edistynyt vuokratuottolaskuri'!$C$10*('Edistynyt vuokratuottolaskuri'!$I$7+N189-('Edistynyt vuokratuottolaskuri'!$I$17-(N189*Veroaste)))/12</f>
        <v>0</v>
      </c>
      <c r="P189" s="15">
        <f>P188+'Edistynyt vuokratuottolaskuri'!$I$19+N189+O189</f>
        <v>5663.6066960490225</v>
      </c>
      <c r="Q189" s="15">
        <f>IF(P188&gt;0,(P188*('Edistynyt vuokratuottolaskuri'!$F$7/12)),0)</f>
        <v>30.516755759953785</v>
      </c>
      <c r="R189" s="15">
        <f>P188</f>
        <v>5632.3160513194698</v>
      </c>
      <c r="S189" s="15">
        <f>(IF(C189&gt;=$C$9,C189,$C$9))-L188-'Edistynyt vuokratuottolaskuri'!$C$28</f>
        <v>57434.264750126691</v>
      </c>
      <c r="T189" s="15">
        <f>R189+S189</f>
        <v>63066.580801446158</v>
      </c>
      <c r="U189" s="15">
        <f>(R177+(S177*'Edistynyt vuokratuottolaskuri'!$C$42)+U177)*0.1+U177</f>
        <v>57068.769161593511</v>
      </c>
      <c r="V189" s="15">
        <f>T189+U189</f>
        <v>120135.34996303967</v>
      </c>
      <c r="W189" s="15">
        <f>W188+'Edistynyt vuokratuottolaskuri'!$I$19+Q189+N189</f>
        <v>8425.3730923248258</v>
      </c>
    </row>
    <row r="190" spans="1:24" x14ac:dyDescent="0.2">
      <c r="B190" s="2">
        <v>182</v>
      </c>
      <c r="C190" s="15">
        <f>C178+('Edistynyt vuokratuottolaskuri'!$C$52*C178)</f>
        <v>89394.609563489881</v>
      </c>
      <c r="D190" s="15">
        <f t="shared" si="20"/>
        <v>11770.640667342766</v>
      </c>
      <c r="E190" s="15">
        <f>-PMT(('Edistynyt vuokratuottolaskuri'!$C$33/12),('Edistynyt vuokratuottolaskuri'!$C$34*12),('Edistynyt vuokratuottolaskuri'!$C$29),0,0)</f>
        <v>209.63805404269655</v>
      </c>
      <c r="F190" s="15">
        <f>E190-(D190*('Edistynyt vuokratuottolaskuri'!$C$33/12))</f>
        <v>190.02031959712528</v>
      </c>
      <c r="G190" s="15">
        <f>IF(Lyhennystapa="Annuiteetti",(D190-F190),IF(Lyhennystapa="Tasalyhennys",(D190-'Edistynyt vuokratuottolaskuri'!$C$38),IF(Lyhennystapa="Bullet",D189,"")))</f>
        <v>11580.620347745642</v>
      </c>
      <c r="H190" s="15">
        <f t="shared" si="18"/>
        <v>0</v>
      </c>
      <c r="I190" s="15">
        <f>-PMT(('Edistynyt vuokratuottolaskuri'!$C$18/12),('Edistynyt vuokratuottolaskuri'!$C$19*12),('Edistynyt vuokratuottolaskuri'!$C$17),0,0)</f>
        <v>110.41614461107285</v>
      </c>
      <c r="J190" s="15">
        <f>I190-(H190*('Edistynyt vuokratuottolaskuri'!$C$18/12))</f>
        <v>110.41614461107285</v>
      </c>
      <c r="K190" s="15">
        <f t="shared" si="17"/>
        <v>0</v>
      </c>
      <c r="L190" s="15">
        <f t="shared" si="16"/>
        <v>11580.620347745642</v>
      </c>
      <c r="M190" s="15">
        <f>'Edistynyt vuokratuottolaskuri'!$C$6-K190-G190</f>
        <v>60419.379652254356</v>
      </c>
      <c r="N190" s="15">
        <f>$N$188+(('Edistynyt vuokratuottolaskuri'!$I$7+$N$188)*'Edistynyt vuokratuottolaskuri'!$C$9*(1-'Edistynyt vuokratuottolaskuri'!$C$41))</f>
        <v>0</v>
      </c>
      <c r="O190" s="15">
        <f>-'Edistynyt vuokratuottolaskuri'!$C$10*('Edistynyt vuokratuottolaskuri'!$I$7+N190-('Edistynyt vuokratuottolaskuri'!$I$17-(N190*Veroaste)))/12</f>
        <v>0</v>
      </c>
      <c r="P190" s="15">
        <f>P189+'Edistynyt vuokratuottolaskuri'!$I$19+N190+O190</f>
        <v>5694.8973407785752</v>
      </c>
      <c r="Q190" s="15">
        <f>IF(P189&gt;0,(P189*('Edistynyt vuokratuottolaskuri'!$F$7/12)),0)</f>
        <v>30.686293291953529</v>
      </c>
      <c r="R190" s="15"/>
      <c r="S190" s="15"/>
      <c r="T190" s="15"/>
      <c r="U190" s="15"/>
      <c r="V190" s="15"/>
      <c r="W190" s="15">
        <f>W189+'Edistynyt vuokratuottolaskuri'!$I$19+Q190+N190</f>
        <v>8487.3500303463316</v>
      </c>
    </row>
    <row r="191" spans="1:24" x14ac:dyDescent="0.2">
      <c r="B191" s="2">
        <v>183</v>
      </c>
      <c r="C191" s="15">
        <f>C179+('Edistynyt vuokratuottolaskuri'!$C$52*C179)</f>
        <v>89394.609563489881</v>
      </c>
      <c r="D191" s="15">
        <f t="shared" si="20"/>
        <v>11580.620347745642</v>
      </c>
      <c r="E191" s="15">
        <f>-PMT(('Edistynyt vuokratuottolaskuri'!$C$33/12),('Edistynyt vuokratuottolaskuri'!$C$34*12),('Edistynyt vuokratuottolaskuri'!$C$29),0,0)</f>
        <v>209.63805404269655</v>
      </c>
      <c r="F191" s="15">
        <f>E191-(D191*('Edistynyt vuokratuottolaskuri'!$C$33/12))</f>
        <v>190.33702012978716</v>
      </c>
      <c r="G191" s="15">
        <f>IF(Lyhennystapa="Annuiteetti",(D191-F191),IF(Lyhennystapa="Tasalyhennys",(D191-'Edistynyt vuokratuottolaskuri'!$C$38),IF(Lyhennystapa="Bullet",D190,"")))</f>
        <v>11390.283327615854</v>
      </c>
      <c r="H191" s="15">
        <f t="shared" si="18"/>
        <v>0</v>
      </c>
      <c r="I191" s="15">
        <f>-PMT(('Edistynyt vuokratuottolaskuri'!$C$18/12),('Edistynyt vuokratuottolaskuri'!$C$19*12),('Edistynyt vuokratuottolaskuri'!$C$17),0,0)</f>
        <v>110.41614461107285</v>
      </c>
      <c r="J191" s="15">
        <f>I191-(H191*('Edistynyt vuokratuottolaskuri'!$C$18/12))</f>
        <v>110.41614461107285</v>
      </c>
      <c r="K191" s="15">
        <f t="shared" si="17"/>
        <v>0</v>
      </c>
      <c r="L191" s="15">
        <f t="shared" si="16"/>
        <v>11390.283327615854</v>
      </c>
      <c r="M191" s="15">
        <f>'Edistynyt vuokratuottolaskuri'!$C$6-K191-G191</f>
        <v>60609.716672384144</v>
      </c>
      <c r="N191" s="15">
        <f>$N$188+(('Edistynyt vuokratuottolaskuri'!$I$7+$N$188)*'Edistynyt vuokratuottolaskuri'!$C$9*(1-'Edistynyt vuokratuottolaskuri'!$C$41))</f>
        <v>0</v>
      </c>
      <c r="O191" s="15">
        <f>-'Edistynyt vuokratuottolaskuri'!$C$10*('Edistynyt vuokratuottolaskuri'!$I$7+N191-('Edistynyt vuokratuottolaskuri'!$I$17-(N191*Veroaste)))/12</f>
        <v>0</v>
      </c>
      <c r="P191" s="15">
        <f>P190+'Edistynyt vuokratuottolaskuri'!$I$19+N191+O191</f>
        <v>5726.1879855081279</v>
      </c>
      <c r="Q191" s="15">
        <f>IF(P190&gt;0,(P190*('Edistynyt vuokratuottolaskuri'!$F$7/12)),0)</f>
        <v>30.855830823953273</v>
      </c>
      <c r="R191" s="15"/>
      <c r="S191" s="15"/>
      <c r="T191" s="15"/>
      <c r="U191" s="15"/>
      <c r="V191" s="15"/>
      <c r="W191" s="15">
        <f>W190+'Edistynyt vuokratuottolaskuri'!$I$19+Q191+N191</f>
        <v>8549.4965058998368</v>
      </c>
    </row>
    <row r="192" spans="1:24" x14ac:dyDescent="0.2">
      <c r="B192" s="2">
        <v>184</v>
      </c>
      <c r="C192" s="15">
        <f>C180+('Edistynyt vuokratuottolaskuri'!$C$52*C180)</f>
        <v>89394.609563489881</v>
      </c>
      <c r="D192" s="15">
        <f t="shared" si="20"/>
        <v>11390.283327615854</v>
      </c>
      <c r="E192" s="15">
        <f>-PMT(('Edistynyt vuokratuottolaskuri'!$C$33/12),('Edistynyt vuokratuottolaskuri'!$C$34*12),('Edistynyt vuokratuottolaskuri'!$C$29),0,0)</f>
        <v>209.63805404269655</v>
      </c>
      <c r="F192" s="15">
        <f>E192-(D192*('Edistynyt vuokratuottolaskuri'!$C$33/12))</f>
        <v>190.65424849667014</v>
      </c>
      <c r="G192" s="15">
        <f>IF(Lyhennystapa="Annuiteetti",(D192-F192),IF(Lyhennystapa="Tasalyhennys",(D192-'Edistynyt vuokratuottolaskuri'!$C$38),IF(Lyhennystapa="Bullet",D191,"")))</f>
        <v>11199.629079119184</v>
      </c>
      <c r="H192" s="15">
        <f t="shared" si="18"/>
        <v>0</v>
      </c>
      <c r="I192" s="15">
        <f>-PMT(('Edistynyt vuokratuottolaskuri'!$C$18/12),('Edistynyt vuokratuottolaskuri'!$C$19*12),('Edistynyt vuokratuottolaskuri'!$C$17),0,0)</f>
        <v>110.41614461107285</v>
      </c>
      <c r="J192" s="15">
        <f>I192-(H192*('Edistynyt vuokratuottolaskuri'!$C$18/12))</f>
        <v>110.41614461107285</v>
      </c>
      <c r="K192" s="15">
        <f t="shared" si="17"/>
        <v>0</v>
      </c>
      <c r="L192" s="15">
        <f t="shared" si="16"/>
        <v>11199.629079119184</v>
      </c>
      <c r="M192" s="15">
        <f>'Edistynyt vuokratuottolaskuri'!$C$6-K192-G192</f>
        <v>60800.370920880814</v>
      </c>
      <c r="N192" s="15">
        <f>$N$188+(('Edistynyt vuokratuottolaskuri'!$I$7+$N$188)*'Edistynyt vuokratuottolaskuri'!$C$9*(1-'Edistynyt vuokratuottolaskuri'!$C$41))</f>
        <v>0</v>
      </c>
      <c r="O192" s="15">
        <f>-'Edistynyt vuokratuottolaskuri'!$C$10*('Edistynyt vuokratuottolaskuri'!$I$7+N192-('Edistynyt vuokratuottolaskuri'!$I$17-(N192*Veroaste)))/12</f>
        <v>0</v>
      </c>
      <c r="P192" s="15">
        <f>P191+'Edistynyt vuokratuottolaskuri'!$I$19+N192+O192</f>
        <v>5757.4786302376806</v>
      </c>
      <c r="Q192" s="15">
        <f>IF(P191&gt;0,(P191*('Edistynyt vuokratuottolaskuri'!$F$7/12)),0)</f>
        <v>31.025368355953017</v>
      </c>
      <c r="R192" s="15"/>
      <c r="S192" s="15"/>
      <c r="T192" s="15"/>
      <c r="U192" s="15"/>
      <c r="V192" s="15"/>
      <c r="W192" s="15">
        <f>W191+'Edistynyt vuokratuottolaskuri'!$I$19+Q192+N192</f>
        <v>8611.8125189853417</v>
      </c>
    </row>
    <row r="193" spans="1:23" x14ac:dyDescent="0.2">
      <c r="B193" s="2">
        <v>185</v>
      </c>
      <c r="C193" s="15">
        <f>C181+('Edistynyt vuokratuottolaskuri'!$C$52*C181)</f>
        <v>89394.609563489881</v>
      </c>
      <c r="D193" s="15">
        <f t="shared" si="20"/>
        <v>11199.629079119184</v>
      </c>
      <c r="E193" s="15">
        <f>-PMT(('Edistynyt vuokratuottolaskuri'!$C$33/12),('Edistynyt vuokratuottolaskuri'!$C$34*12),('Edistynyt vuokratuottolaskuri'!$C$29),0,0)</f>
        <v>209.63805404269655</v>
      </c>
      <c r="F193" s="15">
        <f>E193-(D193*('Edistynyt vuokratuottolaskuri'!$C$33/12))</f>
        <v>190.9720055774979</v>
      </c>
      <c r="G193" s="15">
        <f>IF(Lyhennystapa="Annuiteetti",(D193-F193),IF(Lyhennystapa="Tasalyhennys",(D193-'Edistynyt vuokratuottolaskuri'!$C$38),IF(Lyhennystapa="Bullet",D192,"")))</f>
        <v>11008.657073541686</v>
      </c>
      <c r="H193" s="15">
        <f t="shared" si="18"/>
        <v>0</v>
      </c>
      <c r="I193" s="15">
        <f>-PMT(('Edistynyt vuokratuottolaskuri'!$C$18/12),('Edistynyt vuokratuottolaskuri'!$C$19*12),('Edistynyt vuokratuottolaskuri'!$C$17),0,0)</f>
        <v>110.41614461107285</v>
      </c>
      <c r="J193" s="15">
        <f>I193-(H193*('Edistynyt vuokratuottolaskuri'!$C$18/12))</f>
        <v>110.41614461107285</v>
      </c>
      <c r="K193" s="15">
        <f t="shared" si="17"/>
        <v>0</v>
      </c>
      <c r="L193" s="15">
        <f t="shared" si="16"/>
        <v>11008.657073541686</v>
      </c>
      <c r="M193" s="15">
        <f>'Edistynyt vuokratuottolaskuri'!$C$6-K193-G193</f>
        <v>60991.34292645831</v>
      </c>
      <c r="N193" s="15">
        <f>$N$188+(('Edistynyt vuokratuottolaskuri'!$I$7+$N$188)*'Edistynyt vuokratuottolaskuri'!$C$9*(1-'Edistynyt vuokratuottolaskuri'!$C$41))</f>
        <v>0</v>
      </c>
      <c r="O193" s="15">
        <f>-'Edistynyt vuokratuottolaskuri'!$C$10*('Edistynyt vuokratuottolaskuri'!$I$7+N193-('Edistynyt vuokratuottolaskuri'!$I$17-(N193*Veroaste)))/12</f>
        <v>0</v>
      </c>
      <c r="P193" s="15">
        <f>P192+'Edistynyt vuokratuottolaskuri'!$I$19+N193+O193</f>
        <v>5788.7692749672333</v>
      </c>
      <c r="Q193" s="15">
        <f>IF(P192&gt;0,(P192*('Edistynyt vuokratuottolaskuri'!$F$7/12)),0)</f>
        <v>31.194905887952761</v>
      </c>
      <c r="R193" s="15"/>
      <c r="S193" s="15"/>
      <c r="T193" s="15"/>
      <c r="U193" s="15"/>
      <c r="V193" s="15"/>
      <c r="W193" s="15">
        <f>W192+'Edistynyt vuokratuottolaskuri'!$I$19+Q193+N193</f>
        <v>8674.2980696028462</v>
      </c>
    </row>
    <row r="194" spans="1:23" x14ac:dyDescent="0.2">
      <c r="B194" s="2">
        <v>186</v>
      </c>
      <c r="C194" s="15">
        <f>C182+('Edistynyt vuokratuottolaskuri'!$C$52*C182)</f>
        <v>89394.609563489881</v>
      </c>
      <c r="D194" s="15">
        <f t="shared" si="20"/>
        <v>11008.657073541686</v>
      </c>
      <c r="E194" s="15">
        <f>-PMT(('Edistynyt vuokratuottolaskuri'!$C$33/12),('Edistynyt vuokratuottolaskuri'!$C$34*12),('Edistynyt vuokratuottolaskuri'!$C$29),0,0)</f>
        <v>209.63805404269655</v>
      </c>
      <c r="F194" s="15">
        <f>E194-(D194*('Edistynyt vuokratuottolaskuri'!$C$33/12))</f>
        <v>191.29029225346039</v>
      </c>
      <c r="G194" s="15">
        <f>IF(Lyhennystapa="Annuiteetti",(D194-F194),IF(Lyhennystapa="Tasalyhennys",(D194-'Edistynyt vuokratuottolaskuri'!$C$38),IF(Lyhennystapa="Bullet",D193,"")))</f>
        <v>10817.366781288227</v>
      </c>
      <c r="H194" s="15">
        <f t="shared" si="18"/>
        <v>0</v>
      </c>
      <c r="I194" s="15">
        <f>-PMT(('Edistynyt vuokratuottolaskuri'!$C$18/12),('Edistynyt vuokratuottolaskuri'!$C$19*12),('Edistynyt vuokratuottolaskuri'!$C$17),0,0)</f>
        <v>110.41614461107285</v>
      </c>
      <c r="J194" s="15">
        <f>I194-(H194*('Edistynyt vuokratuottolaskuri'!$C$18/12))</f>
        <v>110.41614461107285</v>
      </c>
      <c r="K194" s="15">
        <f t="shared" si="17"/>
        <v>0</v>
      </c>
      <c r="L194" s="15">
        <f t="shared" si="16"/>
        <v>10817.366781288227</v>
      </c>
      <c r="M194" s="15">
        <f>'Edistynyt vuokratuottolaskuri'!$C$6-K194-G194</f>
        <v>61182.633218711773</v>
      </c>
      <c r="N194" s="15">
        <f>$N$188+(('Edistynyt vuokratuottolaskuri'!$I$7+$N$188)*'Edistynyt vuokratuottolaskuri'!$C$9*(1-'Edistynyt vuokratuottolaskuri'!$C$41))</f>
        <v>0</v>
      </c>
      <c r="O194" s="15">
        <f>-'Edistynyt vuokratuottolaskuri'!$C$10*('Edistynyt vuokratuottolaskuri'!$I$7+N194-('Edistynyt vuokratuottolaskuri'!$I$17-(N194*Veroaste)))/12</f>
        <v>0</v>
      </c>
      <c r="P194" s="15">
        <f>P193+'Edistynyt vuokratuottolaskuri'!$I$19+N194+O194</f>
        <v>5820.059919696786</v>
      </c>
      <c r="Q194" s="15">
        <f>IF(P193&gt;0,(P193*('Edistynyt vuokratuottolaskuri'!$F$7/12)),0)</f>
        <v>31.364443419952504</v>
      </c>
      <c r="R194" s="15"/>
      <c r="S194" s="15"/>
      <c r="T194" s="15"/>
      <c r="U194" s="15"/>
      <c r="V194" s="15"/>
      <c r="W194" s="15">
        <f>W193+'Edistynyt vuokratuottolaskuri'!$I$19+Q194+N194</f>
        <v>8736.9531577523503</v>
      </c>
    </row>
    <row r="195" spans="1:23" x14ac:dyDescent="0.2">
      <c r="B195" s="2">
        <v>187</v>
      </c>
      <c r="C195" s="15">
        <f>C183+('Edistynyt vuokratuottolaskuri'!$C$52*C183)</f>
        <v>89394.609563489881</v>
      </c>
      <c r="D195" s="15">
        <f t="shared" si="20"/>
        <v>10817.366781288227</v>
      </c>
      <c r="E195" s="15">
        <f>-PMT(('Edistynyt vuokratuottolaskuri'!$C$33/12),('Edistynyt vuokratuottolaskuri'!$C$34*12),('Edistynyt vuokratuottolaskuri'!$C$29),0,0)</f>
        <v>209.63805404269655</v>
      </c>
      <c r="F195" s="15">
        <f>E195-(D195*('Edistynyt vuokratuottolaskuri'!$C$33/12))</f>
        <v>191.60910940721618</v>
      </c>
      <c r="G195" s="15">
        <f>IF(Lyhennystapa="Annuiteetti",(D195-F195),IF(Lyhennystapa="Tasalyhennys",(D195-'Edistynyt vuokratuottolaskuri'!$C$38),IF(Lyhennystapa="Bullet",D194,"")))</f>
        <v>10625.757671881011</v>
      </c>
      <c r="H195" s="15">
        <f t="shared" si="18"/>
        <v>0</v>
      </c>
      <c r="I195" s="15">
        <f>-PMT(('Edistynyt vuokratuottolaskuri'!$C$18/12),('Edistynyt vuokratuottolaskuri'!$C$19*12),('Edistynyt vuokratuottolaskuri'!$C$17),0,0)</f>
        <v>110.41614461107285</v>
      </c>
      <c r="J195" s="15">
        <f>I195-(H195*('Edistynyt vuokratuottolaskuri'!$C$18/12))</f>
        <v>110.41614461107285</v>
      </c>
      <c r="K195" s="15">
        <f t="shared" si="17"/>
        <v>0</v>
      </c>
      <c r="L195" s="15">
        <f t="shared" si="16"/>
        <v>10625.757671881011</v>
      </c>
      <c r="M195" s="15">
        <f>'Edistynyt vuokratuottolaskuri'!$C$6-K195-G195</f>
        <v>61374.242328118991</v>
      </c>
      <c r="N195" s="15">
        <f>$N$188+(('Edistynyt vuokratuottolaskuri'!$I$7+$N$188)*'Edistynyt vuokratuottolaskuri'!$C$9*(1-'Edistynyt vuokratuottolaskuri'!$C$41))</f>
        <v>0</v>
      </c>
      <c r="O195" s="15">
        <f>-'Edistynyt vuokratuottolaskuri'!$C$10*('Edistynyt vuokratuottolaskuri'!$I$7+N195-('Edistynyt vuokratuottolaskuri'!$I$17-(N195*Veroaste)))/12</f>
        <v>0</v>
      </c>
      <c r="P195" s="15">
        <f>P194+'Edistynyt vuokratuottolaskuri'!$I$19+N195+O195</f>
        <v>5851.3505644263387</v>
      </c>
      <c r="Q195" s="15">
        <f>IF(P194&gt;0,(P194*('Edistynyt vuokratuottolaskuri'!$F$7/12)),0)</f>
        <v>31.533980951952248</v>
      </c>
      <c r="R195" s="15"/>
      <c r="S195" s="15"/>
      <c r="T195" s="15"/>
      <c r="U195" s="15"/>
      <c r="V195" s="15"/>
      <c r="W195" s="15">
        <f>W194+'Edistynyt vuokratuottolaskuri'!$I$19+Q195+N195</f>
        <v>8799.777783433854</v>
      </c>
    </row>
    <row r="196" spans="1:23" x14ac:dyDescent="0.2">
      <c r="B196" s="2">
        <v>188</v>
      </c>
      <c r="C196" s="15">
        <f>C184+('Edistynyt vuokratuottolaskuri'!$C$52*C184)</f>
        <v>89394.609563489881</v>
      </c>
      <c r="D196" s="15">
        <f t="shared" si="20"/>
        <v>10625.757671881011</v>
      </c>
      <c r="E196" s="15">
        <f>-PMT(('Edistynyt vuokratuottolaskuri'!$C$33/12),('Edistynyt vuokratuottolaskuri'!$C$34*12),('Edistynyt vuokratuottolaskuri'!$C$29),0,0)</f>
        <v>209.63805404269655</v>
      </c>
      <c r="F196" s="15">
        <f>E196-(D196*('Edistynyt vuokratuottolaskuri'!$C$33/12))</f>
        <v>191.92845792289486</v>
      </c>
      <c r="G196" s="15">
        <f>IF(Lyhennystapa="Annuiteetti",(D196-F196),IF(Lyhennystapa="Tasalyhennys",(D196-'Edistynyt vuokratuottolaskuri'!$C$38),IF(Lyhennystapa="Bullet",D195,"")))</f>
        <v>10433.829213958115</v>
      </c>
      <c r="H196" s="15">
        <f t="shared" si="18"/>
        <v>0</v>
      </c>
      <c r="I196" s="15">
        <f>-PMT(('Edistynyt vuokratuottolaskuri'!$C$18/12),('Edistynyt vuokratuottolaskuri'!$C$19*12),('Edistynyt vuokratuottolaskuri'!$C$17),0,0)</f>
        <v>110.41614461107285</v>
      </c>
      <c r="J196" s="15">
        <f>I196-(H196*('Edistynyt vuokratuottolaskuri'!$C$18/12))</f>
        <v>110.41614461107285</v>
      </c>
      <c r="K196" s="15">
        <f t="shared" si="17"/>
        <v>0</v>
      </c>
      <c r="L196" s="15">
        <f t="shared" si="16"/>
        <v>10433.829213958115</v>
      </c>
      <c r="M196" s="15">
        <f>'Edistynyt vuokratuottolaskuri'!$C$6-K196-G196</f>
        <v>61566.170786041883</v>
      </c>
      <c r="N196" s="15">
        <f>$N$188+(('Edistynyt vuokratuottolaskuri'!$I$7+$N$188)*'Edistynyt vuokratuottolaskuri'!$C$9*(1-'Edistynyt vuokratuottolaskuri'!$C$41))</f>
        <v>0</v>
      </c>
      <c r="O196" s="15">
        <f>-'Edistynyt vuokratuottolaskuri'!$C$10*('Edistynyt vuokratuottolaskuri'!$I$7+N196-('Edistynyt vuokratuottolaskuri'!$I$17-(N196*Veroaste)))/12</f>
        <v>0</v>
      </c>
      <c r="P196" s="15">
        <f>P195+'Edistynyt vuokratuottolaskuri'!$I$19+N196+O196</f>
        <v>5882.6412091558914</v>
      </c>
      <c r="Q196" s="15">
        <f>IF(P195&gt;0,(P195*('Edistynyt vuokratuottolaskuri'!$F$7/12)),0)</f>
        <v>31.703518483951992</v>
      </c>
      <c r="R196" s="15"/>
      <c r="S196" s="15"/>
      <c r="T196" s="15"/>
      <c r="U196" s="15"/>
      <c r="V196" s="15"/>
      <c r="W196" s="15">
        <f>W195+'Edistynyt vuokratuottolaskuri'!$I$19+Q196+N196</f>
        <v>8862.7719466473573</v>
      </c>
    </row>
    <row r="197" spans="1:23" x14ac:dyDescent="0.2">
      <c r="B197" s="2">
        <v>189</v>
      </c>
      <c r="C197" s="15">
        <f>C185+('Edistynyt vuokratuottolaskuri'!$C$52*C185)</f>
        <v>89394.609563489881</v>
      </c>
      <c r="D197" s="15">
        <f t="shared" si="20"/>
        <v>10433.829213958115</v>
      </c>
      <c r="E197" s="15">
        <f>-PMT(('Edistynyt vuokratuottolaskuri'!$C$33/12),('Edistynyt vuokratuottolaskuri'!$C$34*12),('Edistynyt vuokratuottolaskuri'!$C$29),0,0)</f>
        <v>209.63805404269655</v>
      </c>
      <c r="F197" s="15">
        <f>E197-(D197*('Edistynyt vuokratuottolaskuri'!$C$33/12))</f>
        <v>192.24833868609969</v>
      </c>
      <c r="G197" s="15">
        <f>IF(Lyhennystapa="Annuiteetti",(D197-F197),IF(Lyhennystapa="Tasalyhennys",(D197-'Edistynyt vuokratuottolaskuri'!$C$38),IF(Lyhennystapa="Bullet",D196,"")))</f>
        <v>10241.580875272015</v>
      </c>
      <c r="H197" s="15">
        <f t="shared" si="18"/>
        <v>0</v>
      </c>
      <c r="I197" s="15">
        <f>-PMT(('Edistynyt vuokratuottolaskuri'!$C$18/12),('Edistynyt vuokratuottolaskuri'!$C$19*12),('Edistynyt vuokratuottolaskuri'!$C$17),0,0)</f>
        <v>110.41614461107285</v>
      </c>
      <c r="J197" s="15">
        <f>I197-(H197*('Edistynyt vuokratuottolaskuri'!$C$18/12))</f>
        <v>110.41614461107285</v>
      </c>
      <c r="K197" s="15">
        <f t="shared" si="17"/>
        <v>0</v>
      </c>
      <c r="L197" s="15">
        <f t="shared" si="16"/>
        <v>10241.580875272015</v>
      </c>
      <c r="M197" s="15">
        <f>'Edistynyt vuokratuottolaskuri'!$C$6-K197-G197</f>
        <v>61758.419124727981</v>
      </c>
      <c r="N197" s="15">
        <f>$N$188+(('Edistynyt vuokratuottolaskuri'!$I$7+$N$188)*'Edistynyt vuokratuottolaskuri'!$C$9*(1-'Edistynyt vuokratuottolaskuri'!$C$41))</f>
        <v>0</v>
      </c>
      <c r="O197" s="15">
        <f>-'Edistynyt vuokratuottolaskuri'!$C$10*('Edistynyt vuokratuottolaskuri'!$I$7+N197-('Edistynyt vuokratuottolaskuri'!$I$17-(N197*Veroaste)))/12</f>
        <v>0</v>
      </c>
      <c r="P197" s="15">
        <f>P196+'Edistynyt vuokratuottolaskuri'!$I$19+N197+O197</f>
        <v>5913.9318538854441</v>
      </c>
      <c r="Q197" s="15">
        <f>IF(P196&gt;0,(P196*('Edistynyt vuokratuottolaskuri'!$F$7/12)),0)</f>
        <v>31.873056015951736</v>
      </c>
      <c r="R197" s="15"/>
      <c r="S197" s="15"/>
      <c r="T197" s="15"/>
      <c r="U197" s="15"/>
      <c r="V197" s="15"/>
      <c r="W197" s="15">
        <f>W196+'Edistynyt vuokratuottolaskuri'!$I$19+Q197+N197</f>
        <v>8925.9356473928601</v>
      </c>
    </row>
    <row r="198" spans="1:23" x14ac:dyDescent="0.2">
      <c r="B198" s="2">
        <v>190</v>
      </c>
      <c r="C198" s="15">
        <f>C186+('Edistynyt vuokratuottolaskuri'!$C$52*C186)</f>
        <v>89394.609563489881</v>
      </c>
      <c r="D198" s="15">
        <f t="shared" si="20"/>
        <v>10241.580875272015</v>
      </c>
      <c r="E198" s="15">
        <f>-PMT(('Edistynyt vuokratuottolaskuri'!$C$33/12),('Edistynyt vuokratuottolaskuri'!$C$34*12),('Edistynyt vuokratuottolaskuri'!$C$29),0,0)</f>
        <v>209.63805404269655</v>
      </c>
      <c r="F198" s="15">
        <f>E198-(D198*('Edistynyt vuokratuottolaskuri'!$C$33/12))</f>
        <v>192.56875258390986</v>
      </c>
      <c r="G198" s="15">
        <f>IF(Lyhennystapa="Annuiteetti",(D198-F198),IF(Lyhennystapa="Tasalyhennys",(D198-'Edistynyt vuokratuottolaskuri'!$C$38),IF(Lyhennystapa="Bullet",D197,"")))</f>
        <v>10049.012122688106</v>
      </c>
      <c r="H198" s="15">
        <f t="shared" si="18"/>
        <v>0</v>
      </c>
      <c r="I198" s="15">
        <f>-PMT(('Edistynyt vuokratuottolaskuri'!$C$18/12),('Edistynyt vuokratuottolaskuri'!$C$19*12),('Edistynyt vuokratuottolaskuri'!$C$17),0,0)</f>
        <v>110.41614461107285</v>
      </c>
      <c r="J198" s="15">
        <f>I198-(H198*('Edistynyt vuokratuottolaskuri'!$C$18/12))</f>
        <v>110.41614461107285</v>
      </c>
      <c r="K198" s="15">
        <f t="shared" si="17"/>
        <v>0</v>
      </c>
      <c r="L198" s="15">
        <f t="shared" si="16"/>
        <v>10049.012122688106</v>
      </c>
      <c r="M198" s="15">
        <f>'Edistynyt vuokratuottolaskuri'!$C$6-K198-G198</f>
        <v>61950.987877311898</v>
      </c>
      <c r="N198" s="15">
        <f>$N$188+(('Edistynyt vuokratuottolaskuri'!$I$7+$N$188)*'Edistynyt vuokratuottolaskuri'!$C$9*(1-'Edistynyt vuokratuottolaskuri'!$C$41))</f>
        <v>0</v>
      </c>
      <c r="O198" s="15">
        <f>-'Edistynyt vuokratuottolaskuri'!$C$10*('Edistynyt vuokratuottolaskuri'!$I$7+N198-('Edistynyt vuokratuottolaskuri'!$I$17-(N198*Veroaste)))/12</f>
        <v>0</v>
      </c>
      <c r="P198" s="15">
        <f>P197+'Edistynyt vuokratuottolaskuri'!$I$19+N198+O198</f>
        <v>5945.2224986149968</v>
      </c>
      <c r="Q198" s="15">
        <f>IF(P197&gt;0,(P197*('Edistynyt vuokratuottolaskuri'!$F$7/12)),0)</f>
        <v>32.042593547951476</v>
      </c>
      <c r="R198" s="15"/>
      <c r="S198" s="15"/>
      <c r="T198" s="15"/>
      <c r="U198" s="15"/>
      <c r="V198" s="15"/>
      <c r="W198" s="15">
        <f>W197+'Edistynyt vuokratuottolaskuri'!$I$19+Q198+N198</f>
        <v>8989.2688856703626</v>
      </c>
    </row>
    <row r="199" spans="1:23" x14ac:dyDescent="0.2">
      <c r="B199" s="2">
        <v>191</v>
      </c>
      <c r="C199" s="15">
        <f>C187+('Edistynyt vuokratuottolaskuri'!$C$52*C187)</f>
        <v>89394.609563489881</v>
      </c>
      <c r="D199" s="15">
        <f t="shared" si="20"/>
        <v>10049.012122688106</v>
      </c>
      <c r="E199" s="15">
        <f>-PMT(('Edistynyt vuokratuottolaskuri'!$C$33/12),('Edistynyt vuokratuottolaskuri'!$C$34*12),('Edistynyt vuokratuottolaskuri'!$C$29),0,0)</f>
        <v>209.63805404269655</v>
      </c>
      <c r="F199" s="15">
        <f>E199-(D199*('Edistynyt vuokratuottolaskuri'!$C$33/12))</f>
        <v>192.88970050488305</v>
      </c>
      <c r="G199" s="15">
        <f>IF(Lyhennystapa="Annuiteetti",(D199-F199),IF(Lyhennystapa="Tasalyhennys",(D199-'Edistynyt vuokratuottolaskuri'!$C$38),IF(Lyhennystapa="Bullet",D198,"")))</f>
        <v>9856.1224221832217</v>
      </c>
      <c r="H199" s="15">
        <f t="shared" si="18"/>
        <v>0</v>
      </c>
      <c r="I199" s="15">
        <f>-PMT(('Edistynyt vuokratuottolaskuri'!$C$18/12),('Edistynyt vuokratuottolaskuri'!$C$19*12),('Edistynyt vuokratuottolaskuri'!$C$17),0,0)</f>
        <v>110.41614461107285</v>
      </c>
      <c r="J199" s="15">
        <f>I199-(H199*('Edistynyt vuokratuottolaskuri'!$C$18/12))</f>
        <v>110.41614461107285</v>
      </c>
      <c r="K199" s="15">
        <f t="shared" si="17"/>
        <v>0</v>
      </c>
      <c r="L199" s="15">
        <f t="shared" si="16"/>
        <v>9856.1224221832217</v>
      </c>
      <c r="M199" s="15">
        <f>'Edistynyt vuokratuottolaskuri'!$C$6-K199-G199</f>
        <v>62143.877577816776</v>
      </c>
      <c r="N199" s="15">
        <f>$N$188+(('Edistynyt vuokratuottolaskuri'!$I$7+$N$188)*'Edistynyt vuokratuottolaskuri'!$C$9*(1-'Edistynyt vuokratuottolaskuri'!$C$41))</f>
        <v>0</v>
      </c>
      <c r="O199" s="15">
        <f>-'Edistynyt vuokratuottolaskuri'!$C$10*('Edistynyt vuokratuottolaskuri'!$I$7+N199-('Edistynyt vuokratuottolaskuri'!$I$17-(N199*Veroaste)))/12</f>
        <v>0</v>
      </c>
      <c r="P199" s="15">
        <f>P198+'Edistynyt vuokratuottolaskuri'!$I$19+N199+O199</f>
        <v>5976.5131433445495</v>
      </c>
      <c r="Q199" s="15">
        <f>IF(P198&gt;0,(P198*('Edistynyt vuokratuottolaskuri'!$F$7/12)),0)</f>
        <v>32.21213107995122</v>
      </c>
      <c r="R199" s="15"/>
      <c r="S199" s="15"/>
      <c r="T199" s="15"/>
      <c r="U199" s="15"/>
      <c r="V199" s="15"/>
      <c r="W199" s="15">
        <f>W198+'Edistynyt vuokratuottolaskuri'!$I$19+Q199+N199</f>
        <v>9052.7716614798665</v>
      </c>
    </row>
    <row r="200" spans="1:23" x14ac:dyDescent="0.2">
      <c r="B200" s="2">
        <v>192</v>
      </c>
      <c r="C200" s="15">
        <f>C188+('Edistynyt vuokratuottolaskuri'!$C$52*C188)</f>
        <v>89394.609563489881</v>
      </c>
      <c r="D200" s="15">
        <f t="shared" si="20"/>
        <v>9856.1224221832217</v>
      </c>
      <c r="E200" s="15">
        <f>-PMT(('Edistynyt vuokratuottolaskuri'!$C$33/12),('Edistynyt vuokratuottolaskuri'!$C$34*12),('Edistynyt vuokratuottolaskuri'!$C$29),0,0)</f>
        <v>209.63805404269655</v>
      </c>
      <c r="F200" s="15">
        <f>E200-(D200*('Edistynyt vuokratuottolaskuri'!$C$33/12))</f>
        <v>193.21118333905784</v>
      </c>
      <c r="G200" s="15">
        <f>IF(Lyhennystapa="Annuiteetti",(D200-F200),IF(Lyhennystapa="Tasalyhennys",(D200-'Edistynyt vuokratuottolaskuri'!$C$38),IF(Lyhennystapa="Bullet",D199,"")))</f>
        <v>9662.9112388441645</v>
      </c>
      <c r="H200" s="15">
        <f t="shared" si="18"/>
        <v>0</v>
      </c>
      <c r="I200" s="15">
        <f>-PMT(('Edistynyt vuokratuottolaskuri'!$C$18/12),('Edistynyt vuokratuottolaskuri'!$C$19*12),('Edistynyt vuokratuottolaskuri'!$C$17),0,0)</f>
        <v>110.41614461107285</v>
      </c>
      <c r="J200" s="15">
        <f>I200-(H200*('Edistynyt vuokratuottolaskuri'!$C$18/12))</f>
        <v>110.41614461107285</v>
      </c>
      <c r="K200" s="15">
        <f t="shared" si="17"/>
        <v>0</v>
      </c>
      <c r="L200" s="15">
        <f t="shared" si="16"/>
        <v>9662.9112388441645</v>
      </c>
      <c r="M200" s="15">
        <f>'Edistynyt vuokratuottolaskuri'!$C$6-K200-G200</f>
        <v>62337.088761155836</v>
      </c>
      <c r="N200" s="15">
        <f>$N$188+(('Edistynyt vuokratuottolaskuri'!$I$7+$N$188)*'Edistynyt vuokratuottolaskuri'!$C$9*(1-'Edistynyt vuokratuottolaskuri'!$C$41))</f>
        <v>0</v>
      </c>
      <c r="O200" s="15">
        <f>-'Edistynyt vuokratuottolaskuri'!$C$10*('Edistynyt vuokratuottolaskuri'!$I$7+N200-('Edistynyt vuokratuottolaskuri'!$I$17-(N200*Veroaste)))/12</f>
        <v>0</v>
      </c>
      <c r="P200" s="15">
        <f>P199+'Edistynyt vuokratuottolaskuri'!$I$19+N200+O200</f>
        <v>6007.8037880741022</v>
      </c>
      <c r="Q200" s="15">
        <f>IF(P199&gt;0,(P199*('Edistynyt vuokratuottolaskuri'!$F$7/12)),0)</f>
        <v>32.381668611950964</v>
      </c>
      <c r="R200" s="15"/>
      <c r="S200" s="15"/>
      <c r="T200" s="15"/>
      <c r="U200" s="15"/>
      <c r="V200" s="15"/>
      <c r="W200" s="15">
        <f>W199+'Edistynyt vuokratuottolaskuri'!$I$19+Q200+N200</f>
        <v>9116.4439748213699</v>
      </c>
    </row>
    <row r="201" spans="1:23" x14ac:dyDescent="0.2">
      <c r="A201" s="2" t="s">
        <v>51</v>
      </c>
      <c r="B201" s="2">
        <v>193</v>
      </c>
      <c r="C201" s="15">
        <f>C189+('Edistynyt vuokratuottolaskuri'!$C$52*C189)</f>
        <v>90288.555659124773</v>
      </c>
      <c r="D201" s="15">
        <f t="shared" si="20"/>
        <v>9662.9112388441645</v>
      </c>
      <c r="E201" s="15">
        <f>-PMT(('Edistynyt vuokratuottolaskuri'!$C$33/12),('Edistynyt vuokratuottolaskuri'!$C$34*12),('Edistynyt vuokratuottolaskuri'!$C$29),0,0)</f>
        <v>209.63805404269655</v>
      </c>
      <c r="F201" s="15">
        <f>E201-(D201*('Edistynyt vuokratuottolaskuri'!$C$33/12))</f>
        <v>193.53320197795628</v>
      </c>
      <c r="G201" s="15">
        <f>IF(Lyhennystapa="Annuiteetti",(D201-F201),IF(Lyhennystapa="Tasalyhennys",(D201-'Edistynyt vuokratuottolaskuri'!$C$38),IF(Lyhennystapa="Bullet",D200,"")))</f>
        <v>9469.3780368662083</v>
      </c>
      <c r="H201" s="15">
        <f t="shared" si="18"/>
        <v>0</v>
      </c>
      <c r="I201" s="15">
        <f>-PMT(('Edistynyt vuokratuottolaskuri'!$C$18/12),('Edistynyt vuokratuottolaskuri'!$C$19*12),('Edistynyt vuokratuottolaskuri'!$C$17),0,0)</f>
        <v>110.41614461107285</v>
      </c>
      <c r="J201" s="15">
        <f>I201-(H201*('Edistynyt vuokratuottolaskuri'!$C$18/12))</f>
        <v>110.41614461107285</v>
      </c>
      <c r="K201" s="15">
        <f t="shared" si="17"/>
        <v>0</v>
      </c>
      <c r="L201" s="15">
        <f t="shared" si="16"/>
        <v>9469.3780368662083</v>
      </c>
      <c r="M201" s="15">
        <f>'Edistynyt vuokratuottolaskuri'!$C$6-K201-G201</f>
        <v>62530.621963133788</v>
      </c>
      <c r="N201" s="15">
        <f>$N$200+(('Edistynyt vuokratuottolaskuri'!$I$7+$N$200)*'Edistynyt vuokratuottolaskuri'!$C$9*(1-'Edistynyt vuokratuottolaskuri'!$C$41))</f>
        <v>0</v>
      </c>
      <c r="O201" s="15">
        <f>-'Edistynyt vuokratuottolaskuri'!$C$10*('Edistynyt vuokratuottolaskuri'!$I$7+N201-('Edistynyt vuokratuottolaskuri'!$I$17-(N201*Veroaste)))/12</f>
        <v>0</v>
      </c>
      <c r="P201" s="15">
        <f>P200+'Edistynyt vuokratuottolaskuri'!$I$19+N201+O201</f>
        <v>6039.0944328036549</v>
      </c>
      <c r="Q201" s="15">
        <f>IF(P200&gt;0,(P200*('Edistynyt vuokratuottolaskuri'!$F$7/12)),0)</f>
        <v>32.551206143950708</v>
      </c>
      <c r="R201" s="15">
        <f>P200</f>
        <v>6007.8037880741022</v>
      </c>
      <c r="S201" s="15">
        <f>(IF(C201&gt;=$C$9,C201,$C$9))-L200-'Edistynyt vuokratuottolaskuri'!$C$28</f>
        <v>60625.644420280616</v>
      </c>
      <c r="T201" s="15">
        <f>R201+S201</f>
        <v>66633.448208354719</v>
      </c>
      <c r="U201" s="15">
        <f>(R189+(S189*'Edistynyt vuokratuottolaskuri'!$C$42)+U189)*0.1+U189</f>
        <v>67359.276215393678</v>
      </c>
      <c r="V201" s="15">
        <f>T201+U201</f>
        <v>133992.72442374838</v>
      </c>
      <c r="W201" s="15">
        <f>W200+'Edistynyt vuokratuottolaskuri'!$I$19+Q201+N201</f>
        <v>9180.285825694873</v>
      </c>
    </row>
    <row r="202" spans="1:23" x14ac:dyDescent="0.2">
      <c r="B202" s="2">
        <v>194</v>
      </c>
      <c r="C202" s="15">
        <f>C190+('Edistynyt vuokratuottolaskuri'!$C$52*C190)</f>
        <v>90288.555659124773</v>
      </c>
      <c r="D202" s="15">
        <f t="shared" si="20"/>
        <v>9469.3780368662083</v>
      </c>
      <c r="E202" s="15">
        <f>-PMT(('Edistynyt vuokratuottolaskuri'!$C$33/12),('Edistynyt vuokratuottolaskuri'!$C$34*12),('Edistynyt vuokratuottolaskuri'!$C$29),0,0)</f>
        <v>209.63805404269655</v>
      </c>
      <c r="F202" s="15">
        <f>E202-(D202*('Edistynyt vuokratuottolaskuri'!$C$33/12))</f>
        <v>193.85575731458621</v>
      </c>
      <c r="G202" s="15">
        <f>IF(Lyhennystapa="Annuiteetti",(D202-F202),IF(Lyhennystapa="Tasalyhennys",(D202-'Edistynyt vuokratuottolaskuri'!$C$38),IF(Lyhennystapa="Bullet",D201,"")))</f>
        <v>9275.522279551622</v>
      </c>
      <c r="H202" s="15">
        <f t="shared" si="18"/>
        <v>0</v>
      </c>
      <c r="I202" s="15">
        <f>-PMT(('Edistynyt vuokratuottolaskuri'!$C$18/12),('Edistynyt vuokratuottolaskuri'!$C$19*12),('Edistynyt vuokratuottolaskuri'!$C$17),0,0)</f>
        <v>110.41614461107285</v>
      </c>
      <c r="J202" s="15">
        <f>I202-(H202*('Edistynyt vuokratuottolaskuri'!$C$18/12))</f>
        <v>110.41614461107285</v>
      </c>
      <c r="K202" s="15">
        <f t="shared" si="17"/>
        <v>0</v>
      </c>
      <c r="L202" s="15">
        <f t="shared" ref="L202:L265" si="21">K202+G202</f>
        <v>9275.522279551622</v>
      </c>
      <c r="M202" s="15">
        <f>'Edistynyt vuokratuottolaskuri'!$C$6-K202-G202</f>
        <v>62724.477720448376</v>
      </c>
      <c r="N202" s="15">
        <f>$N$200+(('Edistynyt vuokratuottolaskuri'!$I$7+$N$200)*'Edistynyt vuokratuottolaskuri'!$C$9*(1-'Edistynyt vuokratuottolaskuri'!$C$41))</f>
        <v>0</v>
      </c>
      <c r="O202" s="15">
        <f>-'Edistynyt vuokratuottolaskuri'!$C$10*('Edistynyt vuokratuottolaskuri'!$I$7+N202-('Edistynyt vuokratuottolaskuri'!$I$17-(N202*Veroaste)))/12</f>
        <v>0</v>
      </c>
      <c r="P202" s="15">
        <f>P201+'Edistynyt vuokratuottolaskuri'!$I$19+N202+O202</f>
        <v>6070.3850775332076</v>
      </c>
      <c r="Q202" s="15">
        <f>IF(P201&gt;0,(P201*('Edistynyt vuokratuottolaskuri'!$F$7/12)),0)</f>
        <v>32.720743675950452</v>
      </c>
      <c r="R202" s="15"/>
      <c r="S202" s="15"/>
      <c r="T202" s="15"/>
      <c r="U202" s="15"/>
      <c r="V202" s="15"/>
      <c r="W202" s="15">
        <f>W201+'Edistynyt vuokratuottolaskuri'!$I$19+Q202+N202</f>
        <v>9244.2972141003756</v>
      </c>
    </row>
    <row r="203" spans="1:23" x14ac:dyDescent="0.2">
      <c r="B203" s="2">
        <v>195</v>
      </c>
      <c r="C203" s="15">
        <f>C191+('Edistynyt vuokratuottolaskuri'!$C$52*C191)</f>
        <v>90288.555659124773</v>
      </c>
      <c r="D203" s="15">
        <f t="shared" si="20"/>
        <v>9275.522279551622</v>
      </c>
      <c r="E203" s="15">
        <f>-PMT(('Edistynyt vuokratuottolaskuri'!$C$33/12),('Edistynyt vuokratuottolaskuri'!$C$34*12),('Edistynyt vuokratuottolaskuri'!$C$29),0,0)</f>
        <v>209.63805404269655</v>
      </c>
      <c r="F203" s="15">
        <f>E203-(D203*('Edistynyt vuokratuottolaskuri'!$C$33/12))</f>
        <v>194.17885024344386</v>
      </c>
      <c r="G203" s="15">
        <f>IF(Lyhennystapa="Annuiteetti",(D203-F203),IF(Lyhennystapa="Tasalyhennys",(D203-'Edistynyt vuokratuottolaskuri'!$C$38),IF(Lyhennystapa="Bullet",D202,"")))</f>
        <v>9081.3434293081773</v>
      </c>
      <c r="H203" s="15">
        <f t="shared" si="18"/>
        <v>0</v>
      </c>
      <c r="I203" s="15">
        <f>-PMT(('Edistynyt vuokratuottolaskuri'!$C$18/12),('Edistynyt vuokratuottolaskuri'!$C$19*12),('Edistynyt vuokratuottolaskuri'!$C$17),0,0)</f>
        <v>110.41614461107285</v>
      </c>
      <c r="J203" s="15">
        <f>I203-(H203*('Edistynyt vuokratuottolaskuri'!$C$18/12))</f>
        <v>110.41614461107285</v>
      </c>
      <c r="K203" s="15">
        <f t="shared" ref="K203:K266" si="22">IF(K202&gt;0.01,H203-J203,0)</f>
        <v>0</v>
      </c>
      <c r="L203" s="15">
        <f t="shared" si="21"/>
        <v>9081.3434293081773</v>
      </c>
      <c r="M203" s="15">
        <f>'Edistynyt vuokratuottolaskuri'!$C$6-K203-G203</f>
        <v>62918.656570691819</v>
      </c>
      <c r="N203" s="15">
        <f>$N$200+(('Edistynyt vuokratuottolaskuri'!$I$7+$N$200)*'Edistynyt vuokratuottolaskuri'!$C$9*(1-'Edistynyt vuokratuottolaskuri'!$C$41))</f>
        <v>0</v>
      </c>
      <c r="O203" s="15">
        <f>-'Edistynyt vuokratuottolaskuri'!$C$10*('Edistynyt vuokratuottolaskuri'!$I$7+N203-('Edistynyt vuokratuottolaskuri'!$I$17-(N203*Veroaste)))/12</f>
        <v>0</v>
      </c>
      <c r="P203" s="15">
        <f>P202+'Edistynyt vuokratuottolaskuri'!$I$19+N203+O203</f>
        <v>6101.6757222627602</v>
      </c>
      <c r="Q203" s="15">
        <f>IF(P202&gt;0,(P202*('Edistynyt vuokratuottolaskuri'!$F$7/12)),0)</f>
        <v>32.890281207950196</v>
      </c>
      <c r="R203" s="15"/>
      <c r="S203" s="15"/>
      <c r="T203" s="15"/>
      <c r="U203" s="15"/>
      <c r="V203" s="15"/>
      <c r="W203" s="15">
        <f>W202+'Edistynyt vuokratuottolaskuri'!$I$19+Q203+N203</f>
        <v>9308.4781400378779</v>
      </c>
    </row>
    <row r="204" spans="1:23" x14ac:dyDescent="0.2">
      <c r="B204" s="2">
        <v>196</v>
      </c>
      <c r="C204" s="15">
        <f>C192+('Edistynyt vuokratuottolaskuri'!$C$52*C192)</f>
        <v>90288.555659124773</v>
      </c>
      <c r="D204" s="15">
        <f t="shared" si="20"/>
        <v>9081.3434293081773</v>
      </c>
      <c r="E204" s="15">
        <f>-PMT(('Edistynyt vuokratuottolaskuri'!$C$33/12),('Edistynyt vuokratuottolaskuri'!$C$34*12),('Edistynyt vuokratuottolaskuri'!$C$29),0,0)</f>
        <v>209.63805404269655</v>
      </c>
      <c r="F204" s="15">
        <f>E204-(D204*('Edistynyt vuokratuottolaskuri'!$C$33/12))</f>
        <v>194.50248166051625</v>
      </c>
      <c r="G204" s="15">
        <f>IF(Lyhennystapa="Annuiteetti",(D204-F204),IF(Lyhennystapa="Tasalyhennys",(D204-'Edistynyt vuokratuottolaskuri'!$C$38),IF(Lyhennystapa="Bullet",D203,"")))</f>
        <v>8886.8409476476609</v>
      </c>
      <c r="H204" s="15">
        <f t="shared" si="18"/>
        <v>0</v>
      </c>
      <c r="I204" s="15">
        <f>-PMT(('Edistynyt vuokratuottolaskuri'!$C$18/12),('Edistynyt vuokratuottolaskuri'!$C$19*12),('Edistynyt vuokratuottolaskuri'!$C$17),0,0)</f>
        <v>110.41614461107285</v>
      </c>
      <c r="J204" s="15">
        <f>I204-(H204*('Edistynyt vuokratuottolaskuri'!$C$18/12))</f>
        <v>110.41614461107285</v>
      </c>
      <c r="K204" s="15">
        <f t="shared" si="22"/>
        <v>0</v>
      </c>
      <c r="L204" s="15">
        <f t="shared" si="21"/>
        <v>8886.8409476476609</v>
      </c>
      <c r="M204" s="15">
        <f>'Edistynyt vuokratuottolaskuri'!$C$6-K204-G204</f>
        <v>63113.159052352341</v>
      </c>
      <c r="N204" s="15">
        <f>$N$200+(('Edistynyt vuokratuottolaskuri'!$I$7+$N$200)*'Edistynyt vuokratuottolaskuri'!$C$9*(1-'Edistynyt vuokratuottolaskuri'!$C$41))</f>
        <v>0</v>
      </c>
      <c r="O204" s="15">
        <f>-'Edistynyt vuokratuottolaskuri'!$C$10*('Edistynyt vuokratuottolaskuri'!$I$7+N204-('Edistynyt vuokratuottolaskuri'!$I$17-(N204*Veroaste)))/12</f>
        <v>0</v>
      </c>
      <c r="P204" s="15">
        <f>P203+'Edistynyt vuokratuottolaskuri'!$I$19+N204+O204</f>
        <v>6132.9663669923129</v>
      </c>
      <c r="Q204" s="15">
        <f>IF(P203&gt;0,(P203*('Edistynyt vuokratuottolaskuri'!$F$7/12)),0)</f>
        <v>33.059818739949939</v>
      </c>
      <c r="R204" s="15"/>
      <c r="S204" s="15"/>
      <c r="T204" s="15"/>
      <c r="U204" s="15"/>
      <c r="V204" s="15"/>
      <c r="W204" s="15">
        <f>W203+'Edistynyt vuokratuottolaskuri'!$I$19+Q204+N204</f>
        <v>9372.8286035073797</v>
      </c>
    </row>
    <row r="205" spans="1:23" x14ac:dyDescent="0.2">
      <c r="B205" s="2">
        <v>197</v>
      </c>
      <c r="C205" s="15">
        <f>C193+('Edistynyt vuokratuottolaskuri'!$C$52*C193)</f>
        <v>90288.555659124773</v>
      </c>
      <c r="D205" s="15">
        <f t="shared" si="20"/>
        <v>8886.8409476476609</v>
      </c>
      <c r="E205" s="15">
        <f>-PMT(('Edistynyt vuokratuottolaskuri'!$C$33/12),('Edistynyt vuokratuottolaskuri'!$C$34*12),('Edistynyt vuokratuottolaskuri'!$C$29),0,0)</f>
        <v>209.63805404269655</v>
      </c>
      <c r="F205" s="15">
        <f>E205-(D205*('Edistynyt vuokratuottolaskuri'!$C$33/12))</f>
        <v>194.82665246328378</v>
      </c>
      <c r="G205" s="15">
        <f>IF(Lyhennystapa="Annuiteetti",(D205-F205),IF(Lyhennystapa="Tasalyhennys",(D205-'Edistynyt vuokratuottolaskuri'!$C$38),IF(Lyhennystapa="Bullet",D204,"")))</f>
        <v>8692.0142951843773</v>
      </c>
      <c r="H205" s="15">
        <f t="shared" si="18"/>
        <v>0</v>
      </c>
      <c r="I205" s="15">
        <f>-PMT(('Edistynyt vuokratuottolaskuri'!$C$18/12),('Edistynyt vuokratuottolaskuri'!$C$19*12),('Edistynyt vuokratuottolaskuri'!$C$17),0,0)</f>
        <v>110.41614461107285</v>
      </c>
      <c r="J205" s="15">
        <f>I205-(H205*('Edistynyt vuokratuottolaskuri'!$C$18/12))</f>
        <v>110.41614461107285</v>
      </c>
      <c r="K205" s="15">
        <f t="shared" si="22"/>
        <v>0</v>
      </c>
      <c r="L205" s="15">
        <f t="shared" si="21"/>
        <v>8692.0142951843773</v>
      </c>
      <c r="M205" s="15">
        <f>'Edistynyt vuokratuottolaskuri'!$C$6-K205-G205</f>
        <v>63307.985704815626</v>
      </c>
      <c r="N205" s="15">
        <f>$N$200+(('Edistynyt vuokratuottolaskuri'!$I$7+$N$200)*'Edistynyt vuokratuottolaskuri'!$C$9*(1-'Edistynyt vuokratuottolaskuri'!$C$41))</f>
        <v>0</v>
      </c>
      <c r="O205" s="15">
        <f>-'Edistynyt vuokratuottolaskuri'!$C$10*('Edistynyt vuokratuottolaskuri'!$I$7+N205-('Edistynyt vuokratuottolaskuri'!$I$17-(N205*Veroaste)))/12</f>
        <v>0</v>
      </c>
      <c r="P205" s="15">
        <f>P204+'Edistynyt vuokratuottolaskuri'!$I$19+N205+O205</f>
        <v>6164.2570117218656</v>
      </c>
      <c r="Q205" s="15">
        <f>IF(P204&gt;0,(P204*('Edistynyt vuokratuottolaskuri'!$F$7/12)),0)</f>
        <v>33.229356271949683</v>
      </c>
      <c r="R205" s="15"/>
      <c r="S205" s="15"/>
      <c r="T205" s="15"/>
      <c r="U205" s="15"/>
      <c r="V205" s="15"/>
      <c r="W205" s="15">
        <f>W204+'Edistynyt vuokratuottolaskuri'!$I$19+Q205+N205</f>
        <v>9437.3486045088812</v>
      </c>
    </row>
    <row r="206" spans="1:23" x14ac:dyDescent="0.2">
      <c r="B206" s="2">
        <v>198</v>
      </c>
      <c r="C206" s="15">
        <f>C194+('Edistynyt vuokratuottolaskuri'!$C$52*C194)</f>
        <v>90288.555659124773</v>
      </c>
      <c r="D206" s="15">
        <f t="shared" si="20"/>
        <v>8692.0142951843773</v>
      </c>
      <c r="E206" s="15">
        <f>-PMT(('Edistynyt vuokratuottolaskuri'!$C$33/12),('Edistynyt vuokratuottolaskuri'!$C$34*12),('Edistynyt vuokratuottolaskuri'!$C$29),0,0)</f>
        <v>209.63805404269655</v>
      </c>
      <c r="F206" s="15">
        <f>E206-(D206*('Edistynyt vuokratuottolaskuri'!$C$33/12))</f>
        <v>195.15136355072258</v>
      </c>
      <c r="G206" s="15">
        <f>IF(Lyhennystapa="Annuiteetti",(D206-F206),IF(Lyhennystapa="Tasalyhennys",(D206-'Edistynyt vuokratuottolaskuri'!$C$38),IF(Lyhennystapa="Bullet",D205,"")))</f>
        <v>8496.8629316336555</v>
      </c>
      <c r="H206" s="15">
        <f t="shared" si="18"/>
        <v>0</v>
      </c>
      <c r="I206" s="15">
        <f>-PMT(('Edistynyt vuokratuottolaskuri'!$C$18/12),('Edistynyt vuokratuottolaskuri'!$C$19*12),('Edistynyt vuokratuottolaskuri'!$C$17),0,0)</f>
        <v>110.41614461107285</v>
      </c>
      <c r="J206" s="15">
        <f>I206-(H206*('Edistynyt vuokratuottolaskuri'!$C$18/12))</f>
        <v>110.41614461107285</v>
      </c>
      <c r="K206" s="15">
        <f t="shared" si="22"/>
        <v>0</v>
      </c>
      <c r="L206" s="15">
        <f t="shared" si="21"/>
        <v>8496.8629316336555</v>
      </c>
      <c r="M206" s="15">
        <f>'Edistynyt vuokratuottolaskuri'!$C$6-K206-G206</f>
        <v>63503.137068366341</v>
      </c>
      <c r="N206" s="15">
        <f>$N$200+(('Edistynyt vuokratuottolaskuri'!$I$7+$N$200)*'Edistynyt vuokratuottolaskuri'!$C$9*(1-'Edistynyt vuokratuottolaskuri'!$C$41))</f>
        <v>0</v>
      </c>
      <c r="O206" s="15">
        <f>-'Edistynyt vuokratuottolaskuri'!$C$10*('Edistynyt vuokratuottolaskuri'!$I$7+N206-('Edistynyt vuokratuottolaskuri'!$I$17-(N206*Veroaste)))/12</f>
        <v>0</v>
      </c>
      <c r="P206" s="15">
        <f>P205+'Edistynyt vuokratuottolaskuri'!$I$19+N206+O206</f>
        <v>6195.5476564514183</v>
      </c>
      <c r="Q206" s="15">
        <f>IF(P205&gt;0,(P205*('Edistynyt vuokratuottolaskuri'!$F$7/12)),0)</f>
        <v>33.398893803949427</v>
      </c>
      <c r="R206" s="15"/>
      <c r="S206" s="15"/>
      <c r="T206" s="15"/>
      <c r="U206" s="15"/>
      <c r="V206" s="15"/>
      <c r="W206" s="15">
        <f>W205+'Edistynyt vuokratuottolaskuri'!$I$19+Q206+N206</f>
        <v>9502.0381430423822</v>
      </c>
    </row>
    <row r="207" spans="1:23" x14ac:dyDescent="0.2">
      <c r="B207" s="2">
        <v>199</v>
      </c>
      <c r="C207" s="15">
        <f>C195+('Edistynyt vuokratuottolaskuri'!$C$52*C195)</f>
        <v>90288.555659124773</v>
      </c>
      <c r="D207" s="15">
        <f t="shared" si="20"/>
        <v>8496.8629316336555</v>
      </c>
      <c r="E207" s="15">
        <f>-PMT(('Edistynyt vuokratuottolaskuri'!$C$33/12),('Edistynyt vuokratuottolaskuri'!$C$34*12),('Edistynyt vuokratuottolaskuri'!$C$29),0,0)</f>
        <v>209.63805404269655</v>
      </c>
      <c r="F207" s="15">
        <f>E207-(D207*('Edistynyt vuokratuottolaskuri'!$C$33/12))</f>
        <v>195.47661582330713</v>
      </c>
      <c r="G207" s="15">
        <f>IF(Lyhennystapa="Annuiteetti",(D207-F207),IF(Lyhennystapa="Tasalyhennys",(D207-'Edistynyt vuokratuottolaskuri'!$C$38),IF(Lyhennystapa="Bullet",D206,"")))</f>
        <v>8301.3863158103486</v>
      </c>
      <c r="H207" s="15">
        <f t="shared" si="18"/>
        <v>0</v>
      </c>
      <c r="I207" s="15">
        <f>-PMT(('Edistynyt vuokratuottolaskuri'!$C$18/12),('Edistynyt vuokratuottolaskuri'!$C$19*12),('Edistynyt vuokratuottolaskuri'!$C$17),0,0)</f>
        <v>110.41614461107285</v>
      </c>
      <c r="J207" s="15">
        <f>I207-(H207*('Edistynyt vuokratuottolaskuri'!$C$18/12))</f>
        <v>110.41614461107285</v>
      </c>
      <c r="K207" s="15">
        <f t="shared" si="22"/>
        <v>0</v>
      </c>
      <c r="L207" s="15">
        <f t="shared" si="21"/>
        <v>8301.3863158103486</v>
      </c>
      <c r="M207" s="15">
        <f>'Edistynyt vuokratuottolaskuri'!$C$6-K207-G207</f>
        <v>63698.613684189651</v>
      </c>
      <c r="N207" s="15">
        <f>$N$200+(('Edistynyt vuokratuottolaskuri'!$I$7+$N$200)*'Edistynyt vuokratuottolaskuri'!$C$9*(1-'Edistynyt vuokratuottolaskuri'!$C$41))</f>
        <v>0</v>
      </c>
      <c r="O207" s="15">
        <f>-'Edistynyt vuokratuottolaskuri'!$C$10*('Edistynyt vuokratuottolaskuri'!$I$7+N207-('Edistynyt vuokratuottolaskuri'!$I$17-(N207*Veroaste)))/12</f>
        <v>0</v>
      </c>
      <c r="P207" s="15">
        <f>P206+'Edistynyt vuokratuottolaskuri'!$I$19+N207+O207</f>
        <v>6226.838301180971</v>
      </c>
      <c r="Q207" s="15">
        <f>IF(P206&gt;0,(P206*('Edistynyt vuokratuottolaskuri'!$F$7/12)),0)</f>
        <v>33.568431335949171</v>
      </c>
      <c r="R207" s="15"/>
      <c r="S207" s="15"/>
      <c r="T207" s="15"/>
      <c r="U207" s="15"/>
      <c r="V207" s="15"/>
      <c r="W207" s="15">
        <f>W206+'Edistynyt vuokratuottolaskuri'!$I$19+Q207+N207</f>
        <v>9566.8972191078828</v>
      </c>
    </row>
    <row r="208" spans="1:23" x14ac:dyDescent="0.2">
      <c r="B208" s="2">
        <v>200</v>
      </c>
      <c r="C208" s="15">
        <f>C196+('Edistynyt vuokratuottolaskuri'!$C$52*C196)</f>
        <v>90288.555659124773</v>
      </c>
      <c r="D208" s="15">
        <f t="shared" si="20"/>
        <v>8301.3863158103486</v>
      </c>
      <c r="E208" s="15">
        <f>-PMT(('Edistynyt vuokratuottolaskuri'!$C$33/12),('Edistynyt vuokratuottolaskuri'!$C$34*12),('Edistynyt vuokratuottolaskuri'!$C$29),0,0)</f>
        <v>209.63805404269655</v>
      </c>
      <c r="F208" s="15">
        <f>E208-(D208*('Edistynyt vuokratuottolaskuri'!$C$33/12))</f>
        <v>195.80241018301263</v>
      </c>
      <c r="G208" s="15">
        <f>IF(Lyhennystapa="Annuiteetti",(D208-F208),IF(Lyhennystapa="Tasalyhennys",(D208-'Edistynyt vuokratuottolaskuri'!$C$38),IF(Lyhennystapa="Bullet",D207,"")))</f>
        <v>8105.5839056273362</v>
      </c>
      <c r="H208" s="15">
        <f t="shared" si="18"/>
        <v>0</v>
      </c>
      <c r="I208" s="15">
        <f>-PMT(('Edistynyt vuokratuottolaskuri'!$C$18/12),('Edistynyt vuokratuottolaskuri'!$C$19*12),('Edistynyt vuokratuottolaskuri'!$C$17),0,0)</f>
        <v>110.41614461107285</v>
      </c>
      <c r="J208" s="15">
        <f>I208-(H208*('Edistynyt vuokratuottolaskuri'!$C$18/12))</f>
        <v>110.41614461107285</v>
      </c>
      <c r="K208" s="15">
        <f t="shared" si="22"/>
        <v>0</v>
      </c>
      <c r="L208" s="15">
        <f t="shared" si="21"/>
        <v>8105.5839056273362</v>
      </c>
      <c r="M208" s="15">
        <f>'Edistynyt vuokratuottolaskuri'!$C$6-K208-G208</f>
        <v>63894.41609437266</v>
      </c>
      <c r="N208" s="15">
        <f>$N$200+(('Edistynyt vuokratuottolaskuri'!$I$7+$N$200)*'Edistynyt vuokratuottolaskuri'!$C$9*(1-'Edistynyt vuokratuottolaskuri'!$C$41))</f>
        <v>0</v>
      </c>
      <c r="O208" s="15">
        <f>-'Edistynyt vuokratuottolaskuri'!$C$10*('Edistynyt vuokratuottolaskuri'!$I$7+N208-('Edistynyt vuokratuottolaskuri'!$I$17-(N208*Veroaste)))/12</f>
        <v>0</v>
      </c>
      <c r="P208" s="15">
        <f>P207+'Edistynyt vuokratuottolaskuri'!$I$19+N208+O208</f>
        <v>6258.1289459105237</v>
      </c>
      <c r="Q208" s="15">
        <f>IF(P207&gt;0,(P207*('Edistynyt vuokratuottolaskuri'!$F$7/12)),0)</f>
        <v>33.737968867948915</v>
      </c>
      <c r="R208" s="15"/>
      <c r="S208" s="15"/>
      <c r="T208" s="15"/>
      <c r="U208" s="15"/>
      <c r="V208" s="15"/>
      <c r="W208" s="15">
        <f>W207+'Edistynyt vuokratuottolaskuri'!$I$19+Q208+N208</f>
        <v>9631.9258327053831</v>
      </c>
    </row>
    <row r="209" spans="1:23" x14ac:dyDescent="0.2">
      <c r="B209" s="2">
        <v>201</v>
      </c>
      <c r="C209" s="15">
        <f>C197+('Edistynyt vuokratuottolaskuri'!$C$52*C197)</f>
        <v>90288.555659124773</v>
      </c>
      <c r="D209" s="15">
        <f t="shared" si="20"/>
        <v>8105.5839056273362</v>
      </c>
      <c r="E209" s="15">
        <f>-PMT(('Edistynyt vuokratuottolaskuri'!$C$33/12),('Edistynyt vuokratuottolaskuri'!$C$34*12),('Edistynyt vuokratuottolaskuri'!$C$29),0,0)</f>
        <v>209.63805404269655</v>
      </c>
      <c r="F209" s="15">
        <f>E209-(D209*('Edistynyt vuokratuottolaskuri'!$C$33/12))</f>
        <v>196.12874753331766</v>
      </c>
      <c r="G209" s="15">
        <f>IF(Lyhennystapa="Annuiteetti",(D209-F209),IF(Lyhennystapa="Tasalyhennys",(D209-'Edistynyt vuokratuottolaskuri'!$C$38),IF(Lyhennystapa="Bullet",D208,"")))</f>
        <v>7909.4551580940188</v>
      </c>
      <c r="H209" s="15">
        <f t="shared" si="18"/>
        <v>0</v>
      </c>
      <c r="I209" s="15">
        <f>-PMT(('Edistynyt vuokratuottolaskuri'!$C$18/12),('Edistynyt vuokratuottolaskuri'!$C$19*12),('Edistynyt vuokratuottolaskuri'!$C$17),0,0)</f>
        <v>110.41614461107285</v>
      </c>
      <c r="J209" s="15">
        <f>I209-(H209*('Edistynyt vuokratuottolaskuri'!$C$18/12))</f>
        <v>110.41614461107285</v>
      </c>
      <c r="K209" s="15">
        <f t="shared" si="22"/>
        <v>0</v>
      </c>
      <c r="L209" s="15">
        <f t="shared" si="21"/>
        <v>7909.4551580940188</v>
      </c>
      <c r="M209" s="15">
        <f>'Edistynyt vuokratuottolaskuri'!$C$6-K209-G209</f>
        <v>64090.544841905983</v>
      </c>
      <c r="N209" s="15">
        <f>$N$200+(('Edistynyt vuokratuottolaskuri'!$I$7+$N$200)*'Edistynyt vuokratuottolaskuri'!$C$9*(1-'Edistynyt vuokratuottolaskuri'!$C$41))</f>
        <v>0</v>
      </c>
      <c r="O209" s="15">
        <f>-'Edistynyt vuokratuottolaskuri'!$C$10*('Edistynyt vuokratuottolaskuri'!$I$7+N209-('Edistynyt vuokratuottolaskuri'!$I$17-(N209*Veroaste)))/12</f>
        <v>0</v>
      </c>
      <c r="P209" s="15">
        <f>P208+'Edistynyt vuokratuottolaskuri'!$I$19+N209+O209</f>
        <v>6289.4195906400764</v>
      </c>
      <c r="Q209" s="15">
        <f>IF(P208&gt;0,(P208*('Edistynyt vuokratuottolaskuri'!$F$7/12)),0)</f>
        <v>33.907506399948659</v>
      </c>
      <c r="R209" s="15"/>
      <c r="S209" s="15"/>
      <c r="T209" s="15"/>
      <c r="U209" s="15"/>
      <c r="V209" s="15"/>
      <c r="W209" s="15">
        <f>W208+'Edistynyt vuokratuottolaskuri'!$I$19+Q209+N209</f>
        <v>9697.1239838348829</v>
      </c>
    </row>
    <row r="210" spans="1:23" x14ac:dyDescent="0.2">
      <c r="B210" s="2">
        <v>202</v>
      </c>
      <c r="C210" s="15">
        <f>C198+('Edistynyt vuokratuottolaskuri'!$C$52*C198)</f>
        <v>90288.555659124773</v>
      </c>
      <c r="D210" s="15">
        <f t="shared" si="20"/>
        <v>7909.4551580940188</v>
      </c>
      <c r="E210" s="15">
        <f>-PMT(('Edistynyt vuokratuottolaskuri'!$C$33/12),('Edistynyt vuokratuottolaskuri'!$C$34*12),('Edistynyt vuokratuottolaskuri'!$C$29),0,0)</f>
        <v>209.63805404269655</v>
      </c>
      <c r="F210" s="15">
        <f>E210-(D210*('Edistynyt vuokratuottolaskuri'!$C$33/12))</f>
        <v>196.45562877920651</v>
      </c>
      <c r="G210" s="15">
        <f>IF(Lyhennystapa="Annuiteetti",(D210-F210),IF(Lyhennystapa="Tasalyhennys",(D210-'Edistynyt vuokratuottolaskuri'!$C$38),IF(Lyhennystapa="Bullet",D209,"")))</f>
        <v>7712.9995293148122</v>
      </c>
      <c r="H210" s="15">
        <f t="shared" ref="H210:H273" si="23">K209</f>
        <v>0</v>
      </c>
      <c r="I210" s="15">
        <f>-PMT(('Edistynyt vuokratuottolaskuri'!$C$18/12),('Edistynyt vuokratuottolaskuri'!$C$19*12),('Edistynyt vuokratuottolaskuri'!$C$17),0,0)</f>
        <v>110.41614461107285</v>
      </c>
      <c r="J210" s="15">
        <f>I210-(H210*('Edistynyt vuokratuottolaskuri'!$C$18/12))</f>
        <v>110.41614461107285</v>
      </c>
      <c r="K210" s="15">
        <f t="shared" si="22"/>
        <v>0</v>
      </c>
      <c r="L210" s="15">
        <f t="shared" si="21"/>
        <v>7712.9995293148122</v>
      </c>
      <c r="M210" s="15">
        <f>'Edistynyt vuokratuottolaskuri'!$C$6-K210-G210</f>
        <v>64287.000470685191</v>
      </c>
      <c r="N210" s="15">
        <f>$N$200+(('Edistynyt vuokratuottolaskuri'!$I$7+$N$200)*'Edistynyt vuokratuottolaskuri'!$C$9*(1-'Edistynyt vuokratuottolaskuri'!$C$41))</f>
        <v>0</v>
      </c>
      <c r="O210" s="15">
        <f>-'Edistynyt vuokratuottolaskuri'!$C$10*('Edistynyt vuokratuottolaskuri'!$I$7+N210-('Edistynyt vuokratuottolaskuri'!$I$17-(N210*Veroaste)))/12</f>
        <v>0</v>
      </c>
      <c r="P210" s="15">
        <f>P209+'Edistynyt vuokratuottolaskuri'!$I$19+N210+O210</f>
        <v>6320.7102353696291</v>
      </c>
      <c r="Q210" s="15">
        <f>IF(P209&gt;0,(P209*('Edistynyt vuokratuottolaskuri'!$F$7/12)),0)</f>
        <v>34.077043931948403</v>
      </c>
      <c r="R210" s="15"/>
      <c r="S210" s="15"/>
      <c r="T210" s="15"/>
      <c r="U210" s="15"/>
      <c r="V210" s="15"/>
      <c r="W210" s="15">
        <f>W209+'Edistynyt vuokratuottolaskuri'!$I$19+Q210+N210</f>
        <v>9762.4916724963823</v>
      </c>
    </row>
    <row r="211" spans="1:23" x14ac:dyDescent="0.2">
      <c r="B211" s="2">
        <v>203</v>
      </c>
      <c r="C211" s="15">
        <f>C199+('Edistynyt vuokratuottolaskuri'!$C$52*C199)</f>
        <v>90288.555659124773</v>
      </c>
      <c r="D211" s="15">
        <f t="shared" si="20"/>
        <v>7712.9995293148122</v>
      </c>
      <c r="E211" s="15">
        <f>-PMT(('Edistynyt vuokratuottolaskuri'!$C$33/12),('Edistynyt vuokratuottolaskuri'!$C$34*12),('Edistynyt vuokratuottolaskuri'!$C$29),0,0)</f>
        <v>209.63805404269655</v>
      </c>
      <c r="F211" s="15">
        <f>E211-(D211*('Edistynyt vuokratuottolaskuri'!$C$33/12))</f>
        <v>196.78305482717187</v>
      </c>
      <c r="G211" s="15">
        <f>IF(Lyhennystapa="Annuiteetti",(D211-F211),IF(Lyhennystapa="Tasalyhennys",(D211-'Edistynyt vuokratuottolaskuri'!$C$38),IF(Lyhennystapa="Bullet",D210,"")))</f>
        <v>7516.21647448764</v>
      </c>
      <c r="H211" s="15">
        <f t="shared" si="23"/>
        <v>0</v>
      </c>
      <c r="I211" s="15">
        <f>-PMT(('Edistynyt vuokratuottolaskuri'!$C$18/12),('Edistynyt vuokratuottolaskuri'!$C$19*12),('Edistynyt vuokratuottolaskuri'!$C$17),0,0)</f>
        <v>110.41614461107285</v>
      </c>
      <c r="J211" s="15">
        <f>I211-(H211*('Edistynyt vuokratuottolaskuri'!$C$18/12))</f>
        <v>110.41614461107285</v>
      </c>
      <c r="K211" s="15">
        <f t="shared" si="22"/>
        <v>0</v>
      </c>
      <c r="L211" s="15">
        <f t="shared" si="21"/>
        <v>7516.21647448764</v>
      </c>
      <c r="M211" s="15">
        <f>'Edistynyt vuokratuottolaskuri'!$C$6-K211-G211</f>
        <v>64483.783525512357</v>
      </c>
      <c r="N211" s="15">
        <f>$N$200+(('Edistynyt vuokratuottolaskuri'!$I$7+$N$200)*'Edistynyt vuokratuottolaskuri'!$C$9*(1-'Edistynyt vuokratuottolaskuri'!$C$41))</f>
        <v>0</v>
      </c>
      <c r="O211" s="15">
        <f>-'Edistynyt vuokratuottolaskuri'!$C$10*('Edistynyt vuokratuottolaskuri'!$I$7+N211-('Edistynyt vuokratuottolaskuri'!$I$17-(N211*Veroaste)))/12</f>
        <v>0</v>
      </c>
      <c r="P211" s="15">
        <f>P210+'Edistynyt vuokratuottolaskuri'!$I$19+N211+O211</f>
        <v>6352.0008800991818</v>
      </c>
      <c r="Q211" s="15">
        <f>IF(P210&gt;0,(P210*('Edistynyt vuokratuottolaskuri'!$F$7/12)),0)</f>
        <v>34.246581463948147</v>
      </c>
      <c r="R211" s="15"/>
      <c r="S211" s="15"/>
      <c r="T211" s="15"/>
      <c r="U211" s="15"/>
      <c r="V211" s="15"/>
      <c r="W211" s="15">
        <f>W210+'Edistynyt vuokratuottolaskuri'!$I$19+Q211+N211</f>
        <v>9828.0288986898831</v>
      </c>
    </row>
    <row r="212" spans="1:23" x14ac:dyDescent="0.2">
      <c r="B212" s="2">
        <v>204</v>
      </c>
      <c r="C212" s="15">
        <f>C200+('Edistynyt vuokratuottolaskuri'!$C$52*C200)</f>
        <v>90288.555659124773</v>
      </c>
      <c r="D212" s="15">
        <f t="shared" si="20"/>
        <v>7516.21647448764</v>
      </c>
      <c r="E212" s="15">
        <f>-PMT(('Edistynyt vuokratuottolaskuri'!$C$33/12),('Edistynyt vuokratuottolaskuri'!$C$34*12),('Edistynyt vuokratuottolaskuri'!$C$29),0,0)</f>
        <v>209.63805404269655</v>
      </c>
      <c r="F212" s="15">
        <f>E212-(D212*('Edistynyt vuokratuottolaskuri'!$C$33/12))</f>
        <v>197.11102658521716</v>
      </c>
      <c r="G212" s="15">
        <f>IF(Lyhennystapa="Annuiteetti",(D212-F212),IF(Lyhennystapa="Tasalyhennys",(D212-'Edistynyt vuokratuottolaskuri'!$C$38),IF(Lyhennystapa="Bullet",D211,"")))</f>
        <v>7319.1054479024224</v>
      </c>
      <c r="H212" s="15">
        <f t="shared" si="23"/>
        <v>0</v>
      </c>
      <c r="I212" s="15">
        <f>-PMT(('Edistynyt vuokratuottolaskuri'!$C$18/12),('Edistynyt vuokratuottolaskuri'!$C$19*12),('Edistynyt vuokratuottolaskuri'!$C$17),0,0)</f>
        <v>110.41614461107285</v>
      </c>
      <c r="J212" s="15">
        <f>I212-(H212*('Edistynyt vuokratuottolaskuri'!$C$18/12))</f>
        <v>110.41614461107285</v>
      </c>
      <c r="K212" s="15">
        <f t="shared" si="22"/>
        <v>0</v>
      </c>
      <c r="L212" s="15">
        <f t="shared" si="21"/>
        <v>7319.1054479024224</v>
      </c>
      <c r="M212" s="15">
        <f>'Edistynyt vuokratuottolaskuri'!$C$6-K212-G212</f>
        <v>64680.894552097576</v>
      </c>
      <c r="N212" s="15">
        <f>$N$200+(('Edistynyt vuokratuottolaskuri'!$I$7+$N$200)*'Edistynyt vuokratuottolaskuri'!$C$9*(1-'Edistynyt vuokratuottolaskuri'!$C$41))</f>
        <v>0</v>
      </c>
      <c r="O212" s="15">
        <f>-'Edistynyt vuokratuottolaskuri'!$C$10*('Edistynyt vuokratuottolaskuri'!$I$7+N212-('Edistynyt vuokratuottolaskuri'!$I$17-(N212*Veroaste)))/12</f>
        <v>0</v>
      </c>
      <c r="P212" s="15">
        <f>P211+'Edistynyt vuokratuottolaskuri'!$I$19+N212+O212</f>
        <v>6383.2915248287345</v>
      </c>
      <c r="Q212" s="15">
        <f>IF(P211&gt;0,(P211*('Edistynyt vuokratuottolaskuri'!$F$7/12)),0)</f>
        <v>34.41611899594789</v>
      </c>
      <c r="R212" s="15"/>
      <c r="S212" s="15"/>
      <c r="T212" s="15"/>
      <c r="U212" s="15"/>
      <c r="V212" s="15"/>
      <c r="W212" s="15">
        <f>W211+'Edistynyt vuokratuottolaskuri'!$I$19+Q212+N212</f>
        <v>9893.7356624153836</v>
      </c>
    </row>
    <row r="213" spans="1:23" x14ac:dyDescent="0.2">
      <c r="A213" s="2" t="s">
        <v>52</v>
      </c>
      <c r="B213" s="2">
        <v>205</v>
      </c>
      <c r="C213" s="15">
        <f>C201+('Edistynyt vuokratuottolaskuri'!$C$52*C201)</f>
        <v>91191.441215716026</v>
      </c>
      <c r="D213" s="15">
        <f t="shared" si="20"/>
        <v>7319.1054479024224</v>
      </c>
      <c r="E213" s="15">
        <f>-PMT(('Edistynyt vuokratuottolaskuri'!$C$33/12),('Edistynyt vuokratuottolaskuri'!$C$34*12),('Edistynyt vuokratuottolaskuri'!$C$29),0,0)</f>
        <v>209.63805404269655</v>
      </c>
      <c r="F213" s="15">
        <f>E213-(D213*('Edistynyt vuokratuottolaskuri'!$C$33/12))</f>
        <v>197.43954496285917</v>
      </c>
      <c r="G213" s="15">
        <f>IF(Lyhennystapa="Annuiteetti",(D213-F213),IF(Lyhennystapa="Tasalyhennys",(D213-'Edistynyt vuokratuottolaskuri'!$C$38),IF(Lyhennystapa="Bullet",D212,"")))</f>
        <v>7121.6659029395632</v>
      </c>
      <c r="H213" s="15">
        <f t="shared" si="23"/>
        <v>0</v>
      </c>
      <c r="I213" s="15">
        <f>-PMT(('Edistynyt vuokratuottolaskuri'!$C$18/12),('Edistynyt vuokratuottolaskuri'!$C$19*12),('Edistynyt vuokratuottolaskuri'!$C$17),0,0)</f>
        <v>110.41614461107285</v>
      </c>
      <c r="J213" s="15">
        <f>I213-(H213*('Edistynyt vuokratuottolaskuri'!$C$18/12))</f>
        <v>110.41614461107285</v>
      </c>
      <c r="K213" s="15">
        <f t="shared" si="22"/>
        <v>0</v>
      </c>
      <c r="L213" s="15">
        <f t="shared" si="21"/>
        <v>7121.6659029395632</v>
      </c>
      <c r="M213" s="15">
        <f>'Edistynyt vuokratuottolaskuri'!$C$6-K213-G213</f>
        <v>64878.334097060433</v>
      </c>
      <c r="N213" s="15">
        <f>$N$212+(('Edistynyt vuokratuottolaskuri'!$I$7+$N$212)*'Edistynyt vuokratuottolaskuri'!$C$9*(1-'Edistynyt vuokratuottolaskuri'!$C$41))</f>
        <v>0</v>
      </c>
      <c r="O213" s="15">
        <f>-'Edistynyt vuokratuottolaskuri'!$C$10*('Edistynyt vuokratuottolaskuri'!$I$7+N213-('Edistynyt vuokratuottolaskuri'!$I$17-(N213*Veroaste)))/12</f>
        <v>0</v>
      </c>
      <c r="P213" s="15">
        <f>P212+'Edistynyt vuokratuottolaskuri'!$I$19+N213+O213</f>
        <v>6414.5821695582872</v>
      </c>
      <c r="Q213" s="15">
        <f>IF(P212&gt;0,(P212*('Edistynyt vuokratuottolaskuri'!$F$7/12)),0)</f>
        <v>34.585656527947634</v>
      </c>
      <c r="R213" s="15">
        <f>P212</f>
        <v>6383.2915248287345</v>
      </c>
      <c r="S213" s="15">
        <f>(IF(C213&gt;=$C$9,C213,$C$9))-L212-'Edistynyt vuokratuottolaskuri'!$C$28</f>
        <v>63872.335767813609</v>
      </c>
      <c r="T213" s="15">
        <f>R213+S213</f>
        <v>70255.627292642341</v>
      </c>
      <c r="U213" s="15">
        <f>(R201+(S201*'Edistynyt vuokratuottolaskuri'!$C$42)+U201)*0.1+U201</f>
        <v>78939.779325160096</v>
      </c>
      <c r="V213" s="15">
        <f>T213+U213</f>
        <v>149195.40661780245</v>
      </c>
      <c r="W213" s="15">
        <f>W212+'Edistynyt vuokratuottolaskuri'!$I$19+Q213+N213</f>
        <v>9959.6119636728836</v>
      </c>
    </row>
    <row r="214" spans="1:23" x14ac:dyDescent="0.2">
      <c r="B214" s="2">
        <v>206</v>
      </c>
      <c r="C214" s="15">
        <f>C202+('Edistynyt vuokratuottolaskuri'!$C$52*C202)</f>
        <v>91191.441215716026</v>
      </c>
      <c r="D214" s="15">
        <f t="shared" si="20"/>
        <v>7121.6659029395632</v>
      </c>
      <c r="E214" s="15">
        <f>-PMT(('Edistynyt vuokratuottolaskuri'!$C$33/12),('Edistynyt vuokratuottolaskuri'!$C$34*12),('Edistynyt vuokratuottolaskuri'!$C$29),0,0)</f>
        <v>209.63805404269655</v>
      </c>
      <c r="F214" s="15">
        <f>E214-(D214*('Edistynyt vuokratuottolaskuri'!$C$33/12))</f>
        <v>197.76861087113062</v>
      </c>
      <c r="G214" s="15">
        <f>IF(Lyhennystapa="Annuiteetti",(D214-F214),IF(Lyhennystapa="Tasalyhennys",(D214-'Edistynyt vuokratuottolaskuri'!$C$38),IF(Lyhennystapa="Bullet",D213,"")))</f>
        <v>6923.8972920684328</v>
      </c>
      <c r="H214" s="15">
        <f t="shared" si="23"/>
        <v>0</v>
      </c>
      <c r="I214" s="15">
        <f>-PMT(('Edistynyt vuokratuottolaskuri'!$C$18/12),('Edistynyt vuokratuottolaskuri'!$C$19*12),('Edistynyt vuokratuottolaskuri'!$C$17),0,0)</f>
        <v>110.41614461107285</v>
      </c>
      <c r="J214" s="15">
        <f>I214-(H214*('Edistynyt vuokratuottolaskuri'!$C$18/12))</f>
        <v>110.41614461107285</v>
      </c>
      <c r="K214" s="15">
        <f t="shared" si="22"/>
        <v>0</v>
      </c>
      <c r="L214" s="15">
        <f t="shared" si="21"/>
        <v>6923.8972920684328</v>
      </c>
      <c r="M214" s="15">
        <f>'Edistynyt vuokratuottolaskuri'!$C$6-K214-G214</f>
        <v>65076.102707931568</v>
      </c>
      <c r="N214" s="15">
        <f>$N$212+(('Edistynyt vuokratuottolaskuri'!$I$7+$N$212)*'Edistynyt vuokratuottolaskuri'!$C$9*(1-'Edistynyt vuokratuottolaskuri'!$C$41))</f>
        <v>0</v>
      </c>
      <c r="O214" s="15">
        <f>-'Edistynyt vuokratuottolaskuri'!$C$10*('Edistynyt vuokratuottolaskuri'!$I$7+N214-('Edistynyt vuokratuottolaskuri'!$I$17-(N214*Veroaste)))/12</f>
        <v>0</v>
      </c>
      <c r="P214" s="15">
        <f>P213+'Edistynyt vuokratuottolaskuri'!$I$19+N214+O214</f>
        <v>6445.8728142878399</v>
      </c>
      <c r="Q214" s="15">
        <f>IF(P213&gt;0,(P213*('Edistynyt vuokratuottolaskuri'!$F$7/12)),0)</f>
        <v>34.755194059947378</v>
      </c>
      <c r="R214" s="15"/>
      <c r="S214" s="15"/>
      <c r="T214" s="15"/>
      <c r="U214" s="15"/>
      <c r="V214" s="15"/>
      <c r="W214" s="15">
        <f>W213+'Edistynyt vuokratuottolaskuri'!$I$19+Q214+N214</f>
        <v>10025.657802462383</v>
      </c>
    </row>
    <row r="215" spans="1:23" x14ac:dyDescent="0.2">
      <c r="B215" s="2">
        <v>207</v>
      </c>
      <c r="C215" s="15">
        <f>C203+('Edistynyt vuokratuottolaskuri'!$C$52*C203)</f>
        <v>91191.441215716026</v>
      </c>
      <c r="D215" s="15">
        <f t="shared" si="20"/>
        <v>6923.8972920684328</v>
      </c>
      <c r="E215" s="15">
        <f>-PMT(('Edistynyt vuokratuottolaskuri'!$C$33/12),('Edistynyt vuokratuottolaskuri'!$C$34*12),('Edistynyt vuokratuottolaskuri'!$C$29),0,0)</f>
        <v>209.63805404269655</v>
      </c>
      <c r="F215" s="15">
        <f>E215-(D215*('Edistynyt vuokratuottolaskuri'!$C$33/12))</f>
        <v>198.0982252225825</v>
      </c>
      <c r="G215" s="15">
        <f>IF(Lyhennystapa="Annuiteetti",(D215-F215),IF(Lyhennystapa="Tasalyhennys",(D215-'Edistynyt vuokratuottolaskuri'!$C$38),IF(Lyhennystapa="Bullet",D214,"")))</f>
        <v>6725.7990668458506</v>
      </c>
      <c r="H215" s="15">
        <f t="shared" si="23"/>
        <v>0</v>
      </c>
      <c r="I215" s="15">
        <f>-PMT(('Edistynyt vuokratuottolaskuri'!$C$18/12),('Edistynyt vuokratuottolaskuri'!$C$19*12),('Edistynyt vuokratuottolaskuri'!$C$17),0,0)</f>
        <v>110.41614461107285</v>
      </c>
      <c r="J215" s="15">
        <f>I215-(H215*('Edistynyt vuokratuottolaskuri'!$C$18/12))</f>
        <v>110.41614461107285</v>
      </c>
      <c r="K215" s="15">
        <f t="shared" si="22"/>
        <v>0</v>
      </c>
      <c r="L215" s="15">
        <f t="shared" si="21"/>
        <v>6725.7990668458506</v>
      </c>
      <c r="M215" s="15">
        <f>'Edistynyt vuokratuottolaskuri'!$C$6-K215-G215</f>
        <v>65274.200933154149</v>
      </c>
      <c r="N215" s="15">
        <f>$N$212+(('Edistynyt vuokratuottolaskuri'!$I$7+$N$212)*'Edistynyt vuokratuottolaskuri'!$C$9*(1-'Edistynyt vuokratuottolaskuri'!$C$41))</f>
        <v>0</v>
      </c>
      <c r="O215" s="15">
        <f>-'Edistynyt vuokratuottolaskuri'!$C$10*('Edistynyt vuokratuottolaskuri'!$I$7+N215-('Edistynyt vuokratuottolaskuri'!$I$17-(N215*Veroaste)))/12</f>
        <v>0</v>
      </c>
      <c r="P215" s="15">
        <f>P214+'Edistynyt vuokratuottolaskuri'!$I$19+N215+O215</f>
        <v>6477.1634590173926</v>
      </c>
      <c r="Q215" s="15">
        <f>IF(P214&gt;0,(P214*('Edistynyt vuokratuottolaskuri'!$F$7/12)),0)</f>
        <v>34.924731591947122</v>
      </c>
      <c r="R215" s="15"/>
      <c r="S215" s="15"/>
      <c r="T215" s="15"/>
      <c r="U215" s="15"/>
      <c r="V215" s="15"/>
      <c r="W215" s="15">
        <f>W214+'Edistynyt vuokratuottolaskuri'!$I$19+Q215+N215</f>
        <v>10091.873178783882</v>
      </c>
    </row>
    <row r="216" spans="1:23" x14ac:dyDescent="0.2">
      <c r="B216" s="2">
        <v>208</v>
      </c>
      <c r="C216" s="15">
        <f>C204+('Edistynyt vuokratuottolaskuri'!$C$52*C204)</f>
        <v>91191.441215716026</v>
      </c>
      <c r="D216" s="15">
        <f t="shared" si="20"/>
        <v>6725.7990668458506</v>
      </c>
      <c r="E216" s="15">
        <f>-PMT(('Edistynyt vuokratuottolaskuri'!$C$33/12),('Edistynyt vuokratuottolaskuri'!$C$34*12),('Edistynyt vuokratuottolaskuri'!$C$29),0,0)</f>
        <v>209.63805404269655</v>
      </c>
      <c r="F216" s="15">
        <f>E216-(D216*('Edistynyt vuokratuottolaskuri'!$C$33/12))</f>
        <v>198.4283889312868</v>
      </c>
      <c r="G216" s="15">
        <f>IF(Lyhennystapa="Annuiteetti",(D216-F216),IF(Lyhennystapa="Tasalyhennys",(D216-'Edistynyt vuokratuottolaskuri'!$C$38),IF(Lyhennystapa="Bullet",D215,"")))</f>
        <v>6527.3706779145641</v>
      </c>
      <c r="H216" s="15">
        <f t="shared" si="23"/>
        <v>0</v>
      </c>
      <c r="I216" s="15">
        <f>-PMT(('Edistynyt vuokratuottolaskuri'!$C$18/12),('Edistynyt vuokratuottolaskuri'!$C$19*12),('Edistynyt vuokratuottolaskuri'!$C$17),0,0)</f>
        <v>110.41614461107285</v>
      </c>
      <c r="J216" s="15">
        <f>I216-(H216*('Edistynyt vuokratuottolaskuri'!$C$18/12))</f>
        <v>110.41614461107285</v>
      </c>
      <c r="K216" s="15">
        <f t="shared" si="22"/>
        <v>0</v>
      </c>
      <c r="L216" s="15">
        <f t="shared" si="21"/>
        <v>6527.3706779145641</v>
      </c>
      <c r="M216" s="15">
        <f>'Edistynyt vuokratuottolaskuri'!$C$6-K216-G216</f>
        <v>65472.629322085435</v>
      </c>
      <c r="N216" s="15">
        <f>$N$212+(('Edistynyt vuokratuottolaskuri'!$I$7+$N$212)*'Edistynyt vuokratuottolaskuri'!$C$9*(1-'Edistynyt vuokratuottolaskuri'!$C$41))</f>
        <v>0</v>
      </c>
      <c r="O216" s="15">
        <f>-'Edistynyt vuokratuottolaskuri'!$C$10*('Edistynyt vuokratuottolaskuri'!$I$7+N216-('Edistynyt vuokratuottolaskuri'!$I$17-(N216*Veroaste)))/12</f>
        <v>0</v>
      </c>
      <c r="P216" s="15">
        <f>P215+'Edistynyt vuokratuottolaskuri'!$I$19+N216+O216</f>
        <v>6508.4541037469453</v>
      </c>
      <c r="Q216" s="15">
        <f>IF(P215&gt;0,(P215*('Edistynyt vuokratuottolaskuri'!$F$7/12)),0)</f>
        <v>35.094269123946866</v>
      </c>
      <c r="R216" s="15"/>
      <c r="S216" s="15"/>
      <c r="T216" s="15"/>
      <c r="U216" s="15"/>
      <c r="V216" s="15"/>
      <c r="W216" s="15">
        <f>W215+'Edistynyt vuokratuottolaskuri'!$I$19+Q216+N216</f>
        <v>10158.258092637381</v>
      </c>
    </row>
    <row r="217" spans="1:23" x14ac:dyDescent="0.2">
      <c r="B217" s="2">
        <v>209</v>
      </c>
      <c r="C217" s="15">
        <f>C205+('Edistynyt vuokratuottolaskuri'!$C$52*C205)</f>
        <v>91191.441215716026</v>
      </c>
      <c r="D217" s="15">
        <f t="shared" si="20"/>
        <v>6527.3706779145641</v>
      </c>
      <c r="E217" s="15">
        <f>-PMT(('Edistynyt vuokratuottolaskuri'!$C$33/12),('Edistynyt vuokratuottolaskuri'!$C$34*12),('Edistynyt vuokratuottolaskuri'!$C$29),0,0)</f>
        <v>209.63805404269655</v>
      </c>
      <c r="F217" s="15">
        <f>E217-(D217*('Edistynyt vuokratuottolaskuri'!$C$33/12))</f>
        <v>198.75910291283896</v>
      </c>
      <c r="G217" s="15">
        <f>IF(Lyhennystapa="Annuiteetti",(D217-F217),IF(Lyhennystapa="Tasalyhennys",(D217-'Edistynyt vuokratuottolaskuri'!$C$38),IF(Lyhennystapa="Bullet",D216,"")))</f>
        <v>6328.6115750017252</v>
      </c>
      <c r="H217" s="15">
        <f t="shared" si="23"/>
        <v>0</v>
      </c>
      <c r="I217" s="15">
        <f>-PMT(('Edistynyt vuokratuottolaskuri'!$C$18/12),('Edistynyt vuokratuottolaskuri'!$C$19*12),('Edistynyt vuokratuottolaskuri'!$C$17),0,0)</f>
        <v>110.41614461107285</v>
      </c>
      <c r="J217" s="15">
        <f>I217-(H217*('Edistynyt vuokratuottolaskuri'!$C$18/12))</f>
        <v>110.41614461107285</v>
      </c>
      <c r="K217" s="15">
        <f t="shared" si="22"/>
        <v>0</v>
      </c>
      <c r="L217" s="15">
        <f t="shared" si="21"/>
        <v>6328.6115750017252</v>
      </c>
      <c r="M217" s="15">
        <f>'Edistynyt vuokratuottolaskuri'!$C$6-K217-G217</f>
        <v>65671.38842499828</v>
      </c>
      <c r="N217" s="15">
        <f>$N$212+(('Edistynyt vuokratuottolaskuri'!$I$7+$N$212)*'Edistynyt vuokratuottolaskuri'!$C$9*(1-'Edistynyt vuokratuottolaskuri'!$C$41))</f>
        <v>0</v>
      </c>
      <c r="O217" s="15">
        <f>-'Edistynyt vuokratuottolaskuri'!$C$10*('Edistynyt vuokratuottolaskuri'!$I$7+N217-('Edistynyt vuokratuottolaskuri'!$I$17-(N217*Veroaste)))/12</f>
        <v>0</v>
      </c>
      <c r="P217" s="15">
        <f>P216+'Edistynyt vuokratuottolaskuri'!$I$19+N217+O217</f>
        <v>6539.744748476498</v>
      </c>
      <c r="Q217" s="15">
        <f>IF(P216&gt;0,(P216*('Edistynyt vuokratuottolaskuri'!$F$7/12)),0)</f>
        <v>35.26380665594661</v>
      </c>
      <c r="R217" s="15"/>
      <c r="S217" s="15"/>
      <c r="T217" s="15"/>
      <c r="U217" s="15"/>
      <c r="V217" s="15"/>
      <c r="W217" s="15">
        <f>W216+'Edistynyt vuokratuottolaskuri'!$I$19+Q217+N217</f>
        <v>10224.81254402288</v>
      </c>
    </row>
    <row r="218" spans="1:23" x14ac:dyDescent="0.2">
      <c r="B218" s="2">
        <v>210</v>
      </c>
      <c r="C218" s="15">
        <f>C206+('Edistynyt vuokratuottolaskuri'!$C$52*C206)</f>
        <v>91191.441215716026</v>
      </c>
      <c r="D218" s="15">
        <f t="shared" si="20"/>
        <v>6328.6115750017252</v>
      </c>
      <c r="E218" s="15">
        <f>-PMT(('Edistynyt vuokratuottolaskuri'!$C$33/12),('Edistynyt vuokratuottolaskuri'!$C$34*12),('Edistynyt vuokratuottolaskuri'!$C$29),0,0)</f>
        <v>209.63805404269655</v>
      </c>
      <c r="F218" s="15">
        <f>E218-(D218*('Edistynyt vuokratuottolaskuri'!$C$33/12))</f>
        <v>199.09036808436034</v>
      </c>
      <c r="G218" s="15">
        <f>IF(Lyhennystapa="Annuiteetti",(D218-F218),IF(Lyhennystapa="Tasalyhennys",(D218-'Edistynyt vuokratuottolaskuri'!$C$38),IF(Lyhennystapa="Bullet",D217,"")))</f>
        <v>6129.5212069173649</v>
      </c>
      <c r="H218" s="15">
        <f t="shared" si="23"/>
        <v>0</v>
      </c>
      <c r="I218" s="15">
        <f>-PMT(('Edistynyt vuokratuottolaskuri'!$C$18/12),('Edistynyt vuokratuottolaskuri'!$C$19*12),('Edistynyt vuokratuottolaskuri'!$C$17),0,0)</f>
        <v>110.41614461107285</v>
      </c>
      <c r="J218" s="15">
        <f>I218-(H218*('Edistynyt vuokratuottolaskuri'!$C$18/12))</f>
        <v>110.41614461107285</v>
      </c>
      <c r="K218" s="15">
        <f t="shared" si="22"/>
        <v>0</v>
      </c>
      <c r="L218" s="15">
        <f t="shared" si="21"/>
        <v>6129.5212069173649</v>
      </c>
      <c r="M218" s="15">
        <f>'Edistynyt vuokratuottolaskuri'!$C$6-K218-G218</f>
        <v>65870.478793082642</v>
      </c>
      <c r="N218" s="15">
        <f>$N$212+(('Edistynyt vuokratuottolaskuri'!$I$7+$N$212)*'Edistynyt vuokratuottolaskuri'!$C$9*(1-'Edistynyt vuokratuottolaskuri'!$C$41))</f>
        <v>0</v>
      </c>
      <c r="O218" s="15">
        <f>-'Edistynyt vuokratuottolaskuri'!$C$10*('Edistynyt vuokratuottolaskuri'!$I$7+N218-('Edistynyt vuokratuottolaskuri'!$I$17-(N218*Veroaste)))/12</f>
        <v>0</v>
      </c>
      <c r="P218" s="15">
        <f>P217+'Edistynyt vuokratuottolaskuri'!$I$19+N218+O218</f>
        <v>6571.0353932060507</v>
      </c>
      <c r="Q218" s="15">
        <f>IF(P217&gt;0,(P217*('Edistynyt vuokratuottolaskuri'!$F$7/12)),0)</f>
        <v>35.433344187946354</v>
      </c>
      <c r="R218" s="15"/>
      <c r="S218" s="15"/>
      <c r="T218" s="15"/>
      <c r="U218" s="15"/>
      <c r="V218" s="15"/>
      <c r="W218" s="15">
        <f>W217+'Edistynyt vuokratuottolaskuri'!$I$19+Q218+N218</f>
        <v>10291.536532940378</v>
      </c>
    </row>
    <row r="219" spans="1:23" x14ac:dyDescent="0.2">
      <c r="B219" s="2">
        <v>211</v>
      </c>
      <c r="C219" s="15">
        <f>C207+('Edistynyt vuokratuottolaskuri'!$C$52*C207)</f>
        <v>91191.441215716026</v>
      </c>
      <c r="D219" s="15">
        <f t="shared" si="20"/>
        <v>6129.5212069173649</v>
      </c>
      <c r="E219" s="15">
        <f>-PMT(('Edistynyt vuokratuottolaskuri'!$C$33/12),('Edistynyt vuokratuottolaskuri'!$C$34*12),('Edistynyt vuokratuottolaskuri'!$C$29),0,0)</f>
        <v>209.63805404269655</v>
      </c>
      <c r="F219" s="15">
        <f>E219-(D219*('Edistynyt vuokratuottolaskuri'!$C$33/12))</f>
        <v>199.42218536450093</v>
      </c>
      <c r="G219" s="15">
        <f>IF(Lyhennystapa="Annuiteetti",(D219-F219),IF(Lyhennystapa="Tasalyhennys",(D219-'Edistynyt vuokratuottolaskuri'!$C$38),IF(Lyhennystapa="Bullet",D218,"")))</f>
        <v>5930.0990215528636</v>
      </c>
      <c r="H219" s="15">
        <f t="shared" si="23"/>
        <v>0</v>
      </c>
      <c r="I219" s="15">
        <f>-PMT(('Edistynyt vuokratuottolaskuri'!$C$18/12),('Edistynyt vuokratuottolaskuri'!$C$19*12),('Edistynyt vuokratuottolaskuri'!$C$17),0,0)</f>
        <v>110.41614461107285</v>
      </c>
      <c r="J219" s="15">
        <f>I219-(H219*('Edistynyt vuokratuottolaskuri'!$C$18/12))</f>
        <v>110.41614461107285</v>
      </c>
      <c r="K219" s="15">
        <f t="shared" si="22"/>
        <v>0</v>
      </c>
      <c r="L219" s="15">
        <f t="shared" si="21"/>
        <v>5930.0990215528636</v>
      </c>
      <c r="M219" s="15">
        <f>'Edistynyt vuokratuottolaskuri'!$C$6-K219-G219</f>
        <v>66069.900978447142</v>
      </c>
      <c r="N219" s="15">
        <f>$N$212+(('Edistynyt vuokratuottolaskuri'!$I$7+$N$212)*'Edistynyt vuokratuottolaskuri'!$C$9*(1-'Edistynyt vuokratuottolaskuri'!$C$41))</f>
        <v>0</v>
      </c>
      <c r="O219" s="15">
        <f>-'Edistynyt vuokratuottolaskuri'!$C$10*('Edistynyt vuokratuottolaskuri'!$I$7+N219-('Edistynyt vuokratuottolaskuri'!$I$17-(N219*Veroaste)))/12</f>
        <v>0</v>
      </c>
      <c r="P219" s="15">
        <f>P218+'Edistynyt vuokratuottolaskuri'!$I$19+N219+O219</f>
        <v>6602.3260379356034</v>
      </c>
      <c r="Q219" s="15">
        <f>IF(P218&gt;0,(P218*('Edistynyt vuokratuottolaskuri'!$F$7/12)),0)</f>
        <v>35.602881719946097</v>
      </c>
      <c r="R219" s="15"/>
      <c r="S219" s="15"/>
      <c r="T219" s="15"/>
      <c r="U219" s="15"/>
      <c r="V219" s="15"/>
      <c r="W219" s="15">
        <f>W218+'Edistynyt vuokratuottolaskuri'!$I$19+Q219+N219</f>
        <v>10358.430059389875</v>
      </c>
    </row>
    <row r="220" spans="1:23" x14ac:dyDescent="0.2">
      <c r="B220" s="2">
        <v>212</v>
      </c>
      <c r="C220" s="15">
        <f>C208+('Edistynyt vuokratuottolaskuri'!$C$52*C208)</f>
        <v>91191.441215716026</v>
      </c>
      <c r="D220" s="15">
        <f t="shared" si="20"/>
        <v>5930.0990215528636</v>
      </c>
      <c r="E220" s="15">
        <f>-PMT(('Edistynyt vuokratuottolaskuri'!$C$33/12),('Edistynyt vuokratuottolaskuri'!$C$34*12),('Edistynyt vuokratuottolaskuri'!$C$29),0,0)</f>
        <v>209.63805404269655</v>
      </c>
      <c r="F220" s="15">
        <f>E220-(D220*('Edistynyt vuokratuottolaskuri'!$C$33/12))</f>
        <v>199.75455567344179</v>
      </c>
      <c r="G220" s="15">
        <f>IF(Lyhennystapa="Annuiteetti",(D220-F220),IF(Lyhennystapa="Tasalyhennys",(D220-'Edistynyt vuokratuottolaskuri'!$C$38),IF(Lyhennystapa="Bullet",D219,"")))</f>
        <v>5730.3444658794215</v>
      </c>
      <c r="H220" s="15">
        <f t="shared" si="23"/>
        <v>0</v>
      </c>
      <c r="I220" s="15">
        <f>-PMT(('Edistynyt vuokratuottolaskuri'!$C$18/12),('Edistynyt vuokratuottolaskuri'!$C$19*12),('Edistynyt vuokratuottolaskuri'!$C$17),0,0)</f>
        <v>110.41614461107285</v>
      </c>
      <c r="J220" s="15">
        <f>I220-(H220*('Edistynyt vuokratuottolaskuri'!$C$18/12))</f>
        <v>110.41614461107285</v>
      </c>
      <c r="K220" s="15">
        <f t="shared" si="22"/>
        <v>0</v>
      </c>
      <c r="L220" s="15">
        <f t="shared" si="21"/>
        <v>5730.3444658794215</v>
      </c>
      <c r="M220" s="15">
        <f>'Edistynyt vuokratuottolaskuri'!$C$6-K220-G220</f>
        <v>66269.655534120582</v>
      </c>
      <c r="N220" s="15">
        <f>$N$212+(('Edistynyt vuokratuottolaskuri'!$I$7+$N$212)*'Edistynyt vuokratuottolaskuri'!$C$9*(1-'Edistynyt vuokratuottolaskuri'!$C$41))</f>
        <v>0</v>
      </c>
      <c r="O220" s="15">
        <f>-'Edistynyt vuokratuottolaskuri'!$C$10*('Edistynyt vuokratuottolaskuri'!$I$7+N220-('Edistynyt vuokratuottolaskuri'!$I$17-(N220*Veroaste)))/12</f>
        <v>0</v>
      </c>
      <c r="P220" s="15">
        <f>P219+'Edistynyt vuokratuottolaskuri'!$I$19+N220+O220</f>
        <v>6633.6166826651561</v>
      </c>
      <c r="Q220" s="15">
        <f>IF(P219&gt;0,(P219*('Edistynyt vuokratuottolaskuri'!$F$7/12)),0)</f>
        <v>35.772419251945841</v>
      </c>
      <c r="R220" s="15"/>
      <c r="S220" s="15"/>
      <c r="T220" s="15"/>
      <c r="U220" s="15"/>
      <c r="V220" s="15"/>
      <c r="W220" s="15">
        <f>W219+'Edistynyt vuokratuottolaskuri'!$I$19+Q220+N220</f>
        <v>10425.493123371372</v>
      </c>
    </row>
    <row r="221" spans="1:23" x14ac:dyDescent="0.2">
      <c r="B221" s="2">
        <v>213</v>
      </c>
      <c r="C221" s="15">
        <f>C209+('Edistynyt vuokratuottolaskuri'!$C$52*C209)</f>
        <v>91191.441215716026</v>
      </c>
      <c r="D221" s="15">
        <f t="shared" si="20"/>
        <v>5730.3444658794215</v>
      </c>
      <c r="E221" s="15">
        <f>-PMT(('Edistynyt vuokratuottolaskuri'!$C$33/12),('Edistynyt vuokratuottolaskuri'!$C$34*12),('Edistynyt vuokratuottolaskuri'!$C$29),0,0)</f>
        <v>209.63805404269655</v>
      </c>
      <c r="F221" s="15">
        <f>E221-(D221*('Edistynyt vuokratuottolaskuri'!$C$33/12))</f>
        <v>200.08747993289751</v>
      </c>
      <c r="G221" s="15">
        <f>IF(Lyhennystapa="Annuiteetti",(D221-F221),IF(Lyhennystapa="Tasalyhennys",(D221-'Edistynyt vuokratuottolaskuri'!$C$38),IF(Lyhennystapa="Bullet",D220,"")))</f>
        <v>5530.2569859465239</v>
      </c>
      <c r="H221" s="15">
        <f t="shared" si="23"/>
        <v>0</v>
      </c>
      <c r="I221" s="15">
        <f>-PMT(('Edistynyt vuokratuottolaskuri'!$C$18/12),('Edistynyt vuokratuottolaskuri'!$C$19*12),('Edistynyt vuokratuottolaskuri'!$C$17),0,0)</f>
        <v>110.41614461107285</v>
      </c>
      <c r="J221" s="15">
        <f>I221-(H221*('Edistynyt vuokratuottolaskuri'!$C$18/12))</f>
        <v>110.41614461107285</v>
      </c>
      <c r="K221" s="15">
        <f t="shared" si="22"/>
        <v>0</v>
      </c>
      <c r="L221" s="15">
        <f t="shared" si="21"/>
        <v>5530.2569859465239</v>
      </c>
      <c r="M221" s="15">
        <f>'Edistynyt vuokratuottolaskuri'!$C$6-K221-G221</f>
        <v>66469.743014053471</v>
      </c>
      <c r="N221" s="15">
        <f>$N$212+(('Edistynyt vuokratuottolaskuri'!$I$7+$N$212)*'Edistynyt vuokratuottolaskuri'!$C$9*(1-'Edistynyt vuokratuottolaskuri'!$C$41))</f>
        <v>0</v>
      </c>
      <c r="O221" s="15">
        <f>-'Edistynyt vuokratuottolaskuri'!$C$10*('Edistynyt vuokratuottolaskuri'!$I$7+N221-('Edistynyt vuokratuottolaskuri'!$I$17-(N221*Veroaste)))/12</f>
        <v>0</v>
      </c>
      <c r="P221" s="15">
        <f>P220+'Edistynyt vuokratuottolaskuri'!$I$19+N221+O221</f>
        <v>6664.9073273947088</v>
      </c>
      <c r="Q221" s="15">
        <f>IF(P220&gt;0,(P220*('Edistynyt vuokratuottolaskuri'!$F$7/12)),0)</f>
        <v>35.941956783945585</v>
      </c>
      <c r="R221" s="15"/>
      <c r="S221" s="15"/>
      <c r="T221" s="15"/>
      <c r="U221" s="15"/>
      <c r="V221" s="15"/>
      <c r="W221" s="15">
        <f>W220+'Edistynyt vuokratuottolaskuri'!$I$19+Q221+N221</f>
        <v>10492.725724884869</v>
      </c>
    </row>
    <row r="222" spans="1:23" x14ac:dyDescent="0.2">
      <c r="B222" s="2">
        <v>214</v>
      </c>
      <c r="C222" s="15">
        <f>C210+('Edistynyt vuokratuottolaskuri'!$C$52*C210)</f>
        <v>91191.441215716026</v>
      </c>
      <c r="D222" s="15">
        <f t="shared" si="20"/>
        <v>5530.2569859465239</v>
      </c>
      <c r="E222" s="15">
        <f>-PMT(('Edistynyt vuokratuottolaskuri'!$C$33/12),('Edistynyt vuokratuottolaskuri'!$C$34*12),('Edistynyt vuokratuottolaskuri'!$C$29),0,0)</f>
        <v>209.63805404269655</v>
      </c>
      <c r="F222" s="15">
        <f>E222-(D222*('Edistynyt vuokratuottolaskuri'!$C$33/12))</f>
        <v>200.42095906611902</v>
      </c>
      <c r="G222" s="15">
        <f>IF(Lyhennystapa="Annuiteetti",(D222-F222),IF(Lyhennystapa="Tasalyhennys",(D222-'Edistynyt vuokratuottolaskuri'!$C$38),IF(Lyhennystapa="Bullet",D221,"")))</f>
        <v>5329.8360268804045</v>
      </c>
      <c r="H222" s="15">
        <f t="shared" si="23"/>
        <v>0</v>
      </c>
      <c r="I222" s="15">
        <f>-PMT(('Edistynyt vuokratuottolaskuri'!$C$18/12),('Edistynyt vuokratuottolaskuri'!$C$19*12),('Edistynyt vuokratuottolaskuri'!$C$17),0,0)</f>
        <v>110.41614461107285</v>
      </c>
      <c r="J222" s="15">
        <f>I222-(H222*('Edistynyt vuokratuottolaskuri'!$C$18/12))</f>
        <v>110.41614461107285</v>
      </c>
      <c r="K222" s="15">
        <f t="shared" si="22"/>
        <v>0</v>
      </c>
      <c r="L222" s="15">
        <f t="shared" si="21"/>
        <v>5329.8360268804045</v>
      </c>
      <c r="M222" s="15">
        <f>'Edistynyt vuokratuottolaskuri'!$C$6-K222-G222</f>
        <v>66670.16397311959</v>
      </c>
      <c r="N222" s="15">
        <f>$N$212+(('Edistynyt vuokratuottolaskuri'!$I$7+$N$212)*'Edistynyt vuokratuottolaskuri'!$C$9*(1-'Edistynyt vuokratuottolaskuri'!$C$41))</f>
        <v>0</v>
      </c>
      <c r="O222" s="15">
        <f>-'Edistynyt vuokratuottolaskuri'!$C$10*('Edistynyt vuokratuottolaskuri'!$I$7+N222-('Edistynyt vuokratuottolaskuri'!$I$17-(N222*Veroaste)))/12</f>
        <v>0</v>
      </c>
      <c r="P222" s="15">
        <f>P221+'Edistynyt vuokratuottolaskuri'!$I$19+N222+O222</f>
        <v>6696.1979721242615</v>
      </c>
      <c r="Q222" s="15">
        <f>IF(P221&gt;0,(P221*('Edistynyt vuokratuottolaskuri'!$F$7/12)),0)</f>
        <v>36.111494315945329</v>
      </c>
      <c r="R222" s="15"/>
      <c r="S222" s="15"/>
      <c r="T222" s="15"/>
      <c r="U222" s="15"/>
      <c r="V222" s="15"/>
      <c r="W222" s="15">
        <f>W221+'Edistynyt vuokratuottolaskuri'!$I$19+Q222+N222</f>
        <v>10560.127863930365</v>
      </c>
    </row>
    <row r="223" spans="1:23" x14ac:dyDescent="0.2">
      <c r="B223" s="2">
        <v>215</v>
      </c>
      <c r="C223" s="15">
        <f>C211+('Edistynyt vuokratuottolaskuri'!$C$52*C211)</f>
        <v>91191.441215716026</v>
      </c>
      <c r="D223" s="15">
        <f t="shared" si="20"/>
        <v>5329.8360268804045</v>
      </c>
      <c r="E223" s="15">
        <f>-PMT(('Edistynyt vuokratuottolaskuri'!$C$33/12),('Edistynyt vuokratuottolaskuri'!$C$34*12),('Edistynyt vuokratuottolaskuri'!$C$29),0,0)</f>
        <v>209.63805404269655</v>
      </c>
      <c r="F223" s="15">
        <f>E223-(D223*('Edistynyt vuokratuottolaskuri'!$C$33/12))</f>
        <v>200.75499399789587</v>
      </c>
      <c r="G223" s="15">
        <f>IF(Lyhennystapa="Annuiteetti",(D223-F223),IF(Lyhennystapa="Tasalyhennys",(D223-'Edistynyt vuokratuottolaskuri'!$C$38),IF(Lyhennystapa="Bullet",D222,"")))</f>
        <v>5129.0810328825082</v>
      </c>
      <c r="H223" s="15">
        <f t="shared" si="23"/>
        <v>0</v>
      </c>
      <c r="I223" s="15">
        <f>-PMT(('Edistynyt vuokratuottolaskuri'!$C$18/12),('Edistynyt vuokratuottolaskuri'!$C$19*12),('Edistynyt vuokratuottolaskuri'!$C$17),0,0)</f>
        <v>110.41614461107285</v>
      </c>
      <c r="J223" s="15">
        <f>I223-(H223*('Edistynyt vuokratuottolaskuri'!$C$18/12))</f>
        <v>110.41614461107285</v>
      </c>
      <c r="K223" s="15">
        <f t="shared" si="22"/>
        <v>0</v>
      </c>
      <c r="L223" s="15">
        <f t="shared" si="21"/>
        <v>5129.0810328825082</v>
      </c>
      <c r="M223" s="15">
        <f>'Edistynyt vuokratuottolaskuri'!$C$6-K223-G223</f>
        <v>66870.918967117497</v>
      </c>
      <c r="N223" s="15">
        <f>$N$212+(('Edistynyt vuokratuottolaskuri'!$I$7+$N$212)*'Edistynyt vuokratuottolaskuri'!$C$9*(1-'Edistynyt vuokratuottolaskuri'!$C$41))</f>
        <v>0</v>
      </c>
      <c r="O223" s="15">
        <f>-'Edistynyt vuokratuottolaskuri'!$C$10*('Edistynyt vuokratuottolaskuri'!$I$7+N223-('Edistynyt vuokratuottolaskuri'!$I$17-(N223*Veroaste)))/12</f>
        <v>0</v>
      </c>
      <c r="P223" s="15">
        <f>P222+'Edistynyt vuokratuottolaskuri'!$I$19+N223+O223</f>
        <v>6727.4886168538142</v>
      </c>
      <c r="Q223" s="15">
        <f>IF(P222&gt;0,(P222*('Edistynyt vuokratuottolaskuri'!$F$7/12)),0)</f>
        <v>36.281031847945073</v>
      </c>
      <c r="R223" s="15"/>
      <c r="S223" s="15"/>
      <c r="T223" s="15"/>
      <c r="U223" s="15"/>
      <c r="V223" s="15"/>
      <c r="W223" s="15">
        <f>W222+'Edistynyt vuokratuottolaskuri'!$I$19+Q223+N223</f>
        <v>10627.699540507861</v>
      </c>
    </row>
    <row r="224" spans="1:23" x14ac:dyDescent="0.2">
      <c r="B224" s="2">
        <v>216</v>
      </c>
      <c r="C224" s="15">
        <f>C212+('Edistynyt vuokratuottolaskuri'!$C$52*C212)</f>
        <v>91191.441215716026</v>
      </c>
      <c r="D224" s="15">
        <f t="shared" si="20"/>
        <v>5129.0810328825082</v>
      </c>
      <c r="E224" s="15">
        <f>-PMT(('Edistynyt vuokratuottolaskuri'!$C$33/12),('Edistynyt vuokratuottolaskuri'!$C$34*12),('Edistynyt vuokratuottolaskuri'!$C$29),0,0)</f>
        <v>209.63805404269655</v>
      </c>
      <c r="F224" s="15">
        <f>E224-(D224*('Edistynyt vuokratuottolaskuri'!$C$33/12))</f>
        <v>201.08958565455904</v>
      </c>
      <c r="G224" s="15">
        <f>IF(Lyhennystapa="Annuiteetti",(D224-F224),IF(Lyhennystapa="Tasalyhennys",(D224-'Edistynyt vuokratuottolaskuri'!$C$38),IF(Lyhennystapa="Bullet",D223,"")))</f>
        <v>4927.9914472279488</v>
      </c>
      <c r="H224" s="15">
        <f t="shared" si="23"/>
        <v>0</v>
      </c>
      <c r="I224" s="15">
        <f>-PMT(('Edistynyt vuokratuottolaskuri'!$C$18/12),('Edistynyt vuokratuottolaskuri'!$C$19*12),('Edistynyt vuokratuottolaskuri'!$C$17),0,0)</f>
        <v>110.41614461107285</v>
      </c>
      <c r="J224" s="15">
        <f>I224-(H224*('Edistynyt vuokratuottolaskuri'!$C$18/12))</f>
        <v>110.41614461107285</v>
      </c>
      <c r="K224" s="15">
        <f t="shared" si="22"/>
        <v>0</v>
      </c>
      <c r="L224" s="15">
        <f t="shared" si="21"/>
        <v>4927.9914472279488</v>
      </c>
      <c r="M224" s="15">
        <f>'Edistynyt vuokratuottolaskuri'!$C$6-K224-G224</f>
        <v>67072.008552772051</v>
      </c>
      <c r="N224" s="15">
        <f>$N$212+(('Edistynyt vuokratuottolaskuri'!$I$7+$N$212)*'Edistynyt vuokratuottolaskuri'!$C$9*(1-'Edistynyt vuokratuottolaskuri'!$C$41))</f>
        <v>0</v>
      </c>
      <c r="O224" s="15">
        <f>-'Edistynyt vuokratuottolaskuri'!$C$10*('Edistynyt vuokratuottolaskuri'!$I$7+N224-('Edistynyt vuokratuottolaskuri'!$I$17-(N224*Veroaste)))/12</f>
        <v>0</v>
      </c>
      <c r="P224" s="15">
        <f>P223+'Edistynyt vuokratuottolaskuri'!$I$19+N224+O224</f>
        <v>6758.7792615833669</v>
      </c>
      <c r="Q224" s="15">
        <f>IF(P223&gt;0,(P223*('Edistynyt vuokratuottolaskuri'!$F$7/12)),0)</f>
        <v>36.450569379944817</v>
      </c>
      <c r="R224" s="15"/>
      <c r="S224" s="15"/>
      <c r="T224" s="15"/>
      <c r="U224" s="15"/>
      <c r="V224" s="15"/>
      <c r="W224" s="15">
        <f>W223+'Edistynyt vuokratuottolaskuri'!$I$19+Q224+N224</f>
        <v>10695.440754617359</v>
      </c>
    </row>
    <row r="225" spans="1:23" x14ac:dyDescent="0.2">
      <c r="A225" s="2" t="s">
        <v>53</v>
      </c>
      <c r="B225" s="2">
        <v>217</v>
      </c>
      <c r="C225" s="15">
        <f>C213+('Edistynyt vuokratuottolaskuri'!$C$52*C213)</f>
        <v>92103.355627873185</v>
      </c>
      <c r="D225" s="15">
        <f t="shared" si="20"/>
        <v>4927.9914472279488</v>
      </c>
      <c r="E225" s="15">
        <f>-PMT(('Edistynyt vuokratuottolaskuri'!$C$33/12),('Edistynyt vuokratuottolaskuri'!$C$34*12),('Edistynyt vuokratuottolaskuri'!$C$29),0,0)</f>
        <v>209.63805404269655</v>
      </c>
      <c r="F225" s="15">
        <f>E225-(D225*('Edistynyt vuokratuottolaskuri'!$C$33/12))</f>
        <v>201.4247349639833</v>
      </c>
      <c r="G225" s="15">
        <f>IF(Lyhennystapa="Annuiteetti",(D225-F225),IF(Lyhennystapa="Tasalyhennys",(D225-'Edistynyt vuokratuottolaskuri'!$C$38),IF(Lyhennystapa="Bullet",D224,"")))</f>
        <v>4726.5667122639652</v>
      </c>
      <c r="H225" s="15">
        <f t="shared" si="23"/>
        <v>0</v>
      </c>
      <c r="I225" s="15">
        <f>-PMT(('Edistynyt vuokratuottolaskuri'!$C$18/12),('Edistynyt vuokratuottolaskuri'!$C$19*12),('Edistynyt vuokratuottolaskuri'!$C$17),0,0)</f>
        <v>110.41614461107285</v>
      </c>
      <c r="J225" s="15">
        <f>I225-(H225*('Edistynyt vuokratuottolaskuri'!$C$18/12))</f>
        <v>110.41614461107285</v>
      </c>
      <c r="K225" s="15">
        <f t="shared" si="22"/>
        <v>0</v>
      </c>
      <c r="L225" s="15">
        <f t="shared" si="21"/>
        <v>4726.5667122639652</v>
      </c>
      <c r="M225" s="15">
        <f>'Edistynyt vuokratuottolaskuri'!$C$6-K225-G225</f>
        <v>67273.433287736028</v>
      </c>
      <c r="N225" s="15">
        <f>$N$224+(('Edistynyt vuokratuottolaskuri'!$I$7+$N$224)*'Edistynyt vuokratuottolaskuri'!$C$9*(1-'Edistynyt vuokratuottolaskuri'!$C$41))</f>
        <v>0</v>
      </c>
      <c r="O225" s="15">
        <f>-'Edistynyt vuokratuottolaskuri'!$C$10*('Edistynyt vuokratuottolaskuri'!$I$7+N225-('Edistynyt vuokratuottolaskuri'!$I$17-(N225*Veroaste)))/12</f>
        <v>0</v>
      </c>
      <c r="P225" s="15">
        <f>P224+'Edistynyt vuokratuottolaskuri'!$I$19+N225+O225</f>
        <v>6790.0699063129196</v>
      </c>
      <c r="Q225" s="15">
        <f>IF(P224&gt;0,(P224*('Edistynyt vuokratuottolaskuri'!$F$7/12)),0)</f>
        <v>36.620106911944561</v>
      </c>
      <c r="R225" s="15">
        <f>P224</f>
        <v>6758.7792615833669</v>
      </c>
      <c r="S225" s="15">
        <f>(IF(C225&gt;=$C$9,C225,$C$9))-L224-'Edistynyt vuokratuottolaskuri'!$C$28</f>
        <v>67175.364180645236</v>
      </c>
      <c r="T225" s="15">
        <f>R225+S225</f>
        <v>73934.143442228597</v>
      </c>
      <c r="U225" s="15">
        <f>(R213+(S213*'Edistynyt vuokratuottolaskuri'!$C$42)+U213)*0.1+U213</f>
        <v>91943.149913905931</v>
      </c>
      <c r="V225" s="15">
        <f>T225+U225</f>
        <v>165877.29335613453</v>
      </c>
      <c r="W225" s="15">
        <f>W224+'Edistynyt vuokratuottolaskuri'!$I$19+Q225+N225</f>
        <v>10763.351506258856</v>
      </c>
    </row>
    <row r="226" spans="1:23" x14ac:dyDescent="0.2">
      <c r="B226" s="2">
        <v>218</v>
      </c>
      <c r="C226" s="15">
        <f>C214+('Edistynyt vuokratuottolaskuri'!$C$52*C214)</f>
        <v>92103.355627873185</v>
      </c>
      <c r="D226" s="15">
        <f t="shared" si="20"/>
        <v>4726.5667122639652</v>
      </c>
      <c r="E226" s="15">
        <f>-PMT(('Edistynyt vuokratuottolaskuri'!$C$33/12),('Edistynyt vuokratuottolaskuri'!$C$34*12),('Edistynyt vuokratuottolaskuri'!$C$29),0,0)</f>
        <v>209.63805404269655</v>
      </c>
      <c r="F226" s="15">
        <f>E226-(D226*('Edistynyt vuokratuottolaskuri'!$C$33/12))</f>
        <v>201.76044285558993</v>
      </c>
      <c r="G226" s="15">
        <f>IF(Lyhennystapa="Annuiteetti",(D226-F226),IF(Lyhennystapa="Tasalyhennys",(D226-'Edistynyt vuokratuottolaskuri'!$C$38),IF(Lyhennystapa="Bullet",D225,"")))</f>
        <v>4524.8062694083756</v>
      </c>
      <c r="H226" s="15">
        <f t="shared" si="23"/>
        <v>0</v>
      </c>
      <c r="I226" s="15">
        <f>-PMT(('Edistynyt vuokratuottolaskuri'!$C$18/12),('Edistynyt vuokratuottolaskuri'!$C$19*12),('Edistynyt vuokratuottolaskuri'!$C$17),0,0)</f>
        <v>110.41614461107285</v>
      </c>
      <c r="J226" s="15">
        <f>I226-(H226*('Edistynyt vuokratuottolaskuri'!$C$18/12))</f>
        <v>110.41614461107285</v>
      </c>
      <c r="K226" s="15">
        <f t="shared" si="22"/>
        <v>0</v>
      </c>
      <c r="L226" s="15">
        <f t="shared" si="21"/>
        <v>4524.8062694083756</v>
      </c>
      <c r="M226" s="15">
        <f>'Edistynyt vuokratuottolaskuri'!$C$6-K226-G226</f>
        <v>67475.193730591622</v>
      </c>
      <c r="N226" s="15">
        <f>$N$224+(('Edistynyt vuokratuottolaskuri'!$I$7+$N$224)*'Edistynyt vuokratuottolaskuri'!$C$9*(1-'Edistynyt vuokratuottolaskuri'!$C$41))</f>
        <v>0</v>
      </c>
      <c r="O226" s="15">
        <f>-'Edistynyt vuokratuottolaskuri'!$C$10*('Edistynyt vuokratuottolaskuri'!$I$7+N226-('Edistynyt vuokratuottolaskuri'!$I$17-(N226*Veroaste)))/12</f>
        <v>0</v>
      </c>
      <c r="P226" s="15">
        <f>P225+'Edistynyt vuokratuottolaskuri'!$I$19+N226+O226</f>
        <v>6821.3605510424723</v>
      </c>
      <c r="Q226" s="15">
        <f>IF(P225&gt;0,(P225*('Edistynyt vuokratuottolaskuri'!$F$7/12)),0)</f>
        <v>36.789644443944304</v>
      </c>
      <c r="R226" s="15"/>
      <c r="S226" s="15"/>
      <c r="T226" s="15"/>
      <c r="U226" s="15"/>
      <c r="V226" s="15"/>
      <c r="W226" s="15">
        <f>W225+'Edistynyt vuokratuottolaskuri'!$I$19+Q226+N226</f>
        <v>10831.431795432352</v>
      </c>
    </row>
    <row r="227" spans="1:23" x14ac:dyDescent="0.2">
      <c r="B227" s="2">
        <v>219</v>
      </c>
      <c r="C227" s="15">
        <f>C215+('Edistynyt vuokratuottolaskuri'!$C$52*C215)</f>
        <v>92103.355627873185</v>
      </c>
      <c r="D227" s="15">
        <f t="shared" si="20"/>
        <v>4524.8062694083756</v>
      </c>
      <c r="E227" s="15">
        <f>-PMT(('Edistynyt vuokratuottolaskuri'!$C$33/12),('Edistynyt vuokratuottolaskuri'!$C$34*12),('Edistynyt vuokratuottolaskuri'!$C$29),0,0)</f>
        <v>209.63805404269655</v>
      </c>
      <c r="F227" s="15">
        <f>E227-(D227*('Edistynyt vuokratuottolaskuri'!$C$33/12))</f>
        <v>202.09671026034925</v>
      </c>
      <c r="G227" s="15">
        <f>IF(Lyhennystapa="Annuiteetti",(D227-F227),IF(Lyhennystapa="Tasalyhennys",(D227-'Edistynyt vuokratuottolaskuri'!$C$38),IF(Lyhennystapa="Bullet",D226,"")))</f>
        <v>4322.7095591480265</v>
      </c>
      <c r="H227" s="15">
        <f t="shared" si="23"/>
        <v>0</v>
      </c>
      <c r="I227" s="15">
        <f>-PMT(('Edistynyt vuokratuottolaskuri'!$C$18/12),('Edistynyt vuokratuottolaskuri'!$C$19*12),('Edistynyt vuokratuottolaskuri'!$C$17),0,0)</f>
        <v>110.41614461107285</v>
      </c>
      <c r="J227" s="15">
        <f>I227-(H227*('Edistynyt vuokratuottolaskuri'!$C$18/12))</f>
        <v>110.41614461107285</v>
      </c>
      <c r="K227" s="15">
        <f t="shared" si="22"/>
        <v>0</v>
      </c>
      <c r="L227" s="15">
        <f t="shared" si="21"/>
        <v>4322.7095591480265</v>
      </c>
      <c r="M227" s="15">
        <f>'Edistynyt vuokratuottolaskuri'!$C$6-K227-G227</f>
        <v>67677.290440851968</v>
      </c>
      <c r="N227" s="15">
        <f>$N$224+(('Edistynyt vuokratuottolaskuri'!$I$7+$N$224)*'Edistynyt vuokratuottolaskuri'!$C$9*(1-'Edistynyt vuokratuottolaskuri'!$C$41))</f>
        <v>0</v>
      </c>
      <c r="O227" s="15">
        <f>-'Edistynyt vuokratuottolaskuri'!$C$10*('Edistynyt vuokratuottolaskuri'!$I$7+N227-('Edistynyt vuokratuottolaskuri'!$I$17-(N227*Veroaste)))/12</f>
        <v>0</v>
      </c>
      <c r="P227" s="15">
        <f>P226+'Edistynyt vuokratuottolaskuri'!$I$19+N227+O227</f>
        <v>6852.6511957720249</v>
      </c>
      <c r="Q227" s="15">
        <f>IF(P226&gt;0,(P226*('Edistynyt vuokratuottolaskuri'!$F$7/12)),0)</f>
        <v>36.959181975944048</v>
      </c>
      <c r="R227" s="15"/>
      <c r="S227" s="15"/>
      <c r="T227" s="15"/>
      <c r="U227" s="15"/>
      <c r="V227" s="15"/>
      <c r="W227" s="15">
        <f>W226+'Edistynyt vuokratuottolaskuri'!$I$19+Q227+N227</f>
        <v>10899.681622137849</v>
      </c>
    </row>
    <row r="228" spans="1:23" x14ac:dyDescent="0.2">
      <c r="B228" s="2">
        <v>220</v>
      </c>
      <c r="C228" s="15">
        <f>C216+('Edistynyt vuokratuottolaskuri'!$C$52*C216)</f>
        <v>92103.355627873185</v>
      </c>
      <c r="D228" s="15">
        <f t="shared" si="20"/>
        <v>4322.7095591480265</v>
      </c>
      <c r="E228" s="15">
        <f>-PMT(('Edistynyt vuokratuottolaskuri'!$C$33/12),('Edistynyt vuokratuottolaskuri'!$C$34*12),('Edistynyt vuokratuottolaskuri'!$C$29),0,0)</f>
        <v>209.63805404269655</v>
      </c>
      <c r="F228" s="15">
        <f>E228-(D228*('Edistynyt vuokratuottolaskuri'!$C$33/12))</f>
        <v>202.43353811078316</v>
      </c>
      <c r="G228" s="15">
        <f>IF(Lyhennystapa="Annuiteetti",(D228-F228),IF(Lyhennystapa="Tasalyhennys",(D228-'Edistynyt vuokratuottolaskuri'!$C$38),IF(Lyhennystapa="Bullet",D227,"")))</f>
        <v>4120.2760210372435</v>
      </c>
      <c r="H228" s="15">
        <f t="shared" si="23"/>
        <v>0</v>
      </c>
      <c r="I228" s="15">
        <f>-PMT(('Edistynyt vuokratuottolaskuri'!$C$18/12),('Edistynyt vuokratuottolaskuri'!$C$19*12),('Edistynyt vuokratuottolaskuri'!$C$17),0,0)</f>
        <v>110.41614461107285</v>
      </c>
      <c r="J228" s="15">
        <f>I228-(H228*('Edistynyt vuokratuottolaskuri'!$C$18/12))</f>
        <v>110.41614461107285</v>
      </c>
      <c r="K228" s="15">
        <f t="shared" si="22"/>
        <v>0</v>
      </c>
      <c r="L228" s="15">
        <f t="shared" si="21"/>
        <v>4120.2760210372435</v>
      </c>
      <c r="M228" s="15">
        <f>'Edistynyt vuokratuottolaskuri'!$C$6-K228-G228</f>
        <v>67879.723978962749</v>
      </c>
      <c r="N228" s="15">
        <f>$N$224+(('Edistynyt vuokratuottolaskuri'!$I$7+$N$224)*'Edistynyt vuokratuottolaskuri'!$C$9*(1-'Edistynyt vuokratuottolaskuri'!$C$41))</f>
        <v>0</v>
      </c>
      <c r="O228" s="15">
        <f>-'Edistynyt vuokratuottolaskuri'!$C$10*('Edistynyt vuokratuottolaskuri'!$I$7+N228-('Edistynyt vuokratuottolaskuri'!$I$17-(N228*Veroaste)))/12</f>
        <v>0</v>
      </c>
      <c r="P228" s="15">
        <f>P227+'Edistynyt vuokratuottolaskuri'!$I$19+N228+O228</f>
        <v>6883.9418405015776</v>
      </c>
      <c r="Q228" s="15">
        <f>IF(P227&gt;0,(P227*('Edistynyt vuokratuottolaskuri'!$F$7/12)),0)</f>
        <v>37.128719507943792</v>
      </c>
      <c r="R228" s="15"/>
      <c r="S228" s="15"/>
      <c r="T228" s="15"/>
      <c r="U228" s="15"/>
      <c r="V228" s="15"/>
      <c r="W228" s="15">
        <f>W227+'Edistynyt vuokratuottolaskuri'!$I$19+Q228+N228</f>
        <v>10968.100986375344</v>
      </c>
    </row>
    <row r="229" spans="1:23" x14ac:dyDescent="0.2">
      <c r="B229" s="2">
        <v>221</v>
      </c>
      <c r="C229" s="15">
        <f>C217+('Edistynyt vuokratuottolaskuri'!$C$52*C217)</f>
        <v>92103.355627873185</v>
      </c>
      <c r="D229" s="15">
        <f t="shared" si="20"/>
        <v>4120.2760210372435</v>
      </c>
      <c r="E229" s="15">
        <f>-PMT(('Edistynyt vuokratuottolaskuri'!$C$33/12),('Edistynyt vuokratuottolaskuri'!$C$34*12),('Edistynyt vuokratuottolaskuri'!$C$29),0,0)</f>
        <v>209.63805404269655</v>
      </c>
      <c r="F229" s="15">
        <f>E229-(D229*('Edistynyt vuokratuottolaskuri'!$C$33/12))</f>
        <v>202.7709273409678</v>
      </c>
      <c r="G229" s="15">
        <f>IF(Lyhennystapa="Annuiteetti",(D229-F229),IF(Lyhennystapa="Tasalyhennys",(D229-'Edistynyt vuokratuottolaskuri'!$C$38),IF(Lyhennystapa="Bullet",D228,"")))</f>
        <v>3917.5050936962757</v>
      </c>
      <c r="H229" s="15">
        <f t="shared" si="23"/>
        <v>0</v>
      </c>
      <c r="I229" s="15">
        <f>-PMT(('Edistynyt vuokratuottolaskuri'!$C$18/12),('Edistynyt vuokratuottolaskuri'!$C$19*12),('Edistynyt vuokratuottolaskuri'!$C$17),0,0)</f>
        <v>110.41614461107285</v>
      </c>
      <c r="J229" s="15">
        <f>I229-(H229*('Edistynyt vuokratuottolaskuri'!$C$18/12))</f>
        <v>110.41614461107285</v>
      </c>
      <c r="K229" s="15">
        <f t="shared" si="22"/>
        <v>0</v>
      </c>
      <c r="L229" s="15">
        <f t="shared" si="21"/>
        <v>3917.5050936962757</v>
      </c>
      <c r="M229" s="15">
        <f>'Edistynyt vuokratuottolaskuri'!$C$6-K229-G229</f>
        <v>68082.49490630372</v>
      </c>
      <c r="N229" s="15">
        <f>$N$224+(('Edistynyt vuokratuottolaskuri'!$I$7+$N$224)*'Edistynyt vuokratuottolaskuri'!$C$9*(1-'Edistynyt vuokratuottolaskuri'!$C$41))</f>
        <v>0</v>
      </c>
      <c r="O229" s="15">
        <f>-'Edistynyt vuokratuottolaskuri'!$C$10*('Edistynyt vuokratuottolaskuri'!$I$7+N229-('Edistynyt vuokratuottolaskuri'!$I$17-(N229*Veroaste)))/12</f>
        <v>0</v>
      </c>
      <c r="P229" s="15">
        <f>P228+'Edistynyt vuokratuottolaskuri'!$I$19+N229+O229</f>
        <v>6915.2324852311303</v>
      </c>
      <c r="Q229" s="15">
        <f>IF(P228&gt;0,(P228*('Edistynyt vuokratuottolaskuri'!$F$7/12)),0)</f>
        <v>37.298257039943536</v>
      </c>
      <c r="R229" s="15"/>
      <c r="S229" s="15"/>
      <c r="T229" s="15"/>
      <c r="U229" s="15"/>
      <c r="V229" s="15"/>
      <c r="W229" s="15">
        <f>W228+'Edistynyt vuokratuottolaskuri'!$I$19+Q229+N229</f>
        <v>11036.68988814484</v>
      </c>
    </row>
    <row r="230" spans="1:23" x14ac:dyDescent="0.2">
      <c r="B230" s="2">
        <v>222</v>
      </c>
      <c r="C230" s="15">
        <f>C218+('Edistynyt vuokratuottolaskuri'!$C$52*C218)</f>
        <v>92103.355627873185</v>
      </c>
      <c r="D230" s="15">
        <f t="shared" si="20"/>
        <v>3917.5050936962757</v>
      </c>
      <c r="E230" s="15">
        <f>-PMT(('Edistynyt vuokratuottolaskuri'!$C$33/12),('Edistynyt vuokratuottolaskuri'!$C$34*12),('Edistynyt vuokratuottolaskuri'!$C$29),0,0)</f>
        <v>209.63805404269655</v>
      </c>
      <c r="F230" s="15">
        <f>E230-(D230*('Edistynyt vuokratuottolaskuri'!$C$33/12))</f>
        <v>203.1088788865361</v>
      </c>
      <c r="G230" s="15">
        <f>IF(Lyhennystapa="Annuiteetti",(D230-F230),IF(Lyhennystapa="Tasalyhennys",(D230-'Edistynyt vuokratuottolaskuri'!$C$38),IF(Lyhennystapa="Bullet",D229,"")))</f>
        <v>3714.3962148097398</v>
      </c>
      <c r="H230" s="15">
        <f t="shared" si="23"/>
        <v>0</v>
      </c>
      <c r="I230" s="15">
        <f>-PMT(('Edistynyt vuokratuottolaskuri'!$C$18/12),('Edistynyt vuokratuottolaskuri'!$C$19*12),('Edistynyt vuokratuottolaskuri'!$C$17),0,0)</f>
        <v>110.41614461107285</v>
      </c>
      <c r="J230" s="15">
        <f>I230-(H230*('Edistynyt vuokratuottolaskuri'!$C$18/12))</f>
        <v>110.41614461107285</v>
      </c>
      <c r="K230" s="15">
        <f t="shared" si="22"/>
        <v>0</v>
      </c>
      <c r="L230" s="15">
        <f t="shared" si="21"/>
        <v>3714.3962148097398</v>
      </c>
      <c r="M230" s="15">
        <f>'Edistynyt vuokratuottolaskuri'!$C$6-K230-G230</f>
        <v>68285.603785190266</v>
      </c>
      <c r="N230" s="15">
        <f>$N$224+(('Edistynyt vuokratuottolaskuri'!$I$7+$N$224)*'Edistynyt vuokratuottolaskuri'!$C$9*(1-'Edistynyt vuokratuottolaskuri'!$C$41))</f>
        <v>0</v>
      </c>
      <c r="O230" s="15">
        <f>-'Edistynyt vuokratuottolaskuri'!$C$10*('Edistynyt vuokratuottolaskuri'!$I$7+N230-('Edistynyt vuokratuottolaskuri'!$I$17-(N230*Veroaste)))/12</f>
        <v>0</v>
      </c>
      <c r="P230" s="15">
        <f>P229+'Edistynyt vuokratuottolaskuri'!$I$19+N230+O230</f>
        <v>6946.523129960683</v>
      </c>
      <c r="Q230" s="15">
        <f>IF(P229&gt;0,(P229*('Edistynyt vuokratuottolaskuri'!$F$7/12)),0)</f>
        <v>37.46779457194328</v>
      </c>
      <c r="R230" s="15"/>
      <c r="S230" s="15"/>
      <c r="T230" s="15"/>
      <c r="U230" s="15"/>
      <c r="V230" s="15"/>
      <c r="W230" s="15">
        <f>W229+'Edistynyt vuokratuottolaskuri'!$I$19+Q230+N230</f>
        <v>11105.448327446335</v>
      </c>
    </row>
    <row r="231" spans="1:23" x14ac:dyDescent="0.2">
      <c r="B231" s="2">
        <v>223</v>
      </c>
      <c r="C231" s="15">
        <f>C219+('Edistynyt vuokratuottolaskuri'!$C$52*C219)</f>
        <v>92103.355627873185</v>
      </c>
      <c r="D231" s="15">
        <f t="shared" si="20"/>
        <v>3714.3962148097398</v>
      </c>
      <c r="E231" s="15">
        <f>-PMT(('Edistynyt vuokratuottolaskuri'!$C$33/12),('Edistynyt vuokratuottolaskuri'!$C$34*12),('Edistynyt vuokratuottolaskuri'!$C$29),0,0)</f>
        <v>209.63805404269655</v>
      </c>
      <c r="F231" s="15">
        <f>E231-(D231*('Edistynyt vuokratuottolaskuri'!$C$33/12))</f>
        <v>203.44739368468032</v>
      </c>
      <c r="G231" s="15">
        <f>IF(Lyhennystapa="Annuiteetti",(D231-F231),IF(Lyhennystapa="Tasalyhennys",(D231-'Edistynyt vuokratuottolaskuri'!$C$38),IF(Lyhennystapa="Bullet",D230,"")))</f>
        <v>3510.9488211250596</v>
      </c>
      <c r="H231" s="15">
        <f t="shared" si="23"/>
        <v>0</v>
      </c>
      <c r="I231" s="15">
        <f>-PMT(('Edistynyt vuokratuottolaskuri'!$C$18/12),('Edistynyt vuokratuottolaskuri'!$C$19*12),('Edistynyt vuokratuottolaskuri'!$C$17),0,0)</f>
        <v>110.41614461107285</v>
      </c>
      <c r="J231" s="15">
        <f>I231-(H231*('Edistynyt vuokratuottolaskuri'!$C$18/12))</f>
        <v>110.41614461107285</v>
      </c>
      <c r="K231" s="15">
        <f t="shared" si="22"/>
        <v>0</v>
      </c>
      <c r="L231" s="15">
        <f t="shared" si="21"/>
        <v>3510.9488211250596</v>
      </c>
      <c r="M231" s="15">
        <f>'Edistynyt vuokratuottolaskuri'!$C$6-K231-G231</f>
        <v>68489.051178874943</v>
      </c>
      <c r="N231" s="15">
        <f>$N$224+(('Edistynyt vuokratuottolaskuri'!$I$7+$N$224)*'Edistynyt vuokratuottolaskuri'!$C$9*(1-'Edistynyt vuokratuottolaskuri'!$C$41))</f>
        <v>0</v>
      </c>
      <c r="O231" s="15">
        <f>-'Edistynyt vuokratuottolaskuri'!$C$10*('Edistynyt vuokratuottolaskuri'!$I$7+N231-('Edistynyt vuokratuottolaskuri'!$I$17-(N231*Veroaste)))/12</f>
        <v>0</v>
      </c>
      <c r="P231" s="15">
        <f>P230+'Edistynyt vuokratuottolaskuri'!$I$19+N231+O231</f>
        <v>6977.8137746902357</v>
      </c>
      <c r="Q231" s="15">
        <f>IF(P230&gt;0,(P230*('Edistynyt vuokratuottolaskuri'!$F$7/12)),0)</f>
        <v>37.637332103943024</v>
      </c>
      <c r="R231" s="15"/>
      <c r="S231" s="15"/>
      <c r="T231" s="15"/>
      <c r="U231" s="15"/>
      <c r="V231" s="15"/>
      <c r="W231" s="15">
        <f>W230+'Edistynyt vuokratuottolaskuri'!$I$19+Q231+N231</f>
        <v>11174.376304279829</v>
      </c>
    </row>
    <row r="232" spans="1:23" x14ac:dyDescent="0.2">
      <c r="B232" s="2">
        <v>224</v>
      </c>
      <c r="C232" s="15">
        <f>C220+('Edistynyt vuokratuottolaskuri'!$C$52*C220)</f>
        <v>92103.355627873185</v>
      </c>
      <c r="D232" s="15">
        <f t="shared" si="20"/>
        <v>3510.9488211250596</v>
      </c>
      <c r="E232" s="15">
        <f>-PMT(('Edistynyt vuokratuottolaskuri'!$C$33/12),('Edistynyt vuokratuottolaskuri'!$C$34*12),('Edistynyt vuokratuottolaskuri'!$C$29),0,0)</f>
        <v>209.63805404269655</v>
      </c>
      <c r="F232" s="15">
        <f>E232-(D232*('Edistynyt vuokratuottolaskuri'!$C$33/12))</f>
        <v>203.78647267415479</v>
      </c>
      <c r="G232" s="15">
        <f>IF(Lyhennystapa="Annuiteetti",(D232-F232),IF(Lyhennystapa="Tasalyhennys",(D232-'Edistynyt vuokratuottolaskuri'!$C$38),IF(Lyhennystapa="Bullet",D231,"")))</f>
        <v>3307.1623484509046</v>
      </c>
      <c r="H232" s="15">
        <f t="shared" si="23"/>
        <v>0</v>
      </c>
      <c r="I232" s="15">
        <f>-PMT(('Edistynyt vuokratuottolaskuri'!$C$18/12),('Edistynyt vuokratuottolaskuri'!$C$19*12),('Edistynyt vuokratuottolaskuri'!$C$17),0,0)</f>
        <v>110.41614461107285</v>
      </c>
      <c r="J232" s="15">
        <f>I232-(H232*('Edistynyt vuokratuottolaskuri'!$C$18/12))</f>
        <v>110.41614461107285</v>
      </c>
      <c r="K232" s="15">
        <f t="shared" si="22"/>
        <v>0</v>
      </c>
      <c r="L232" s="15">
        <f t="shared" si="21"/>
        <v>3307.1623484509046</v>
      </c>
      <c r="M232" s="15">
        <f>'Edistynyt vuokratuottolaskuri'!$C$6-K232-G232</f>
        <v>68692.837651549096</v>
      </c>
      <c r="N232" s="15">
        <f>$N$224+(('Edistynyt vuokratuottolaskuri'!$I$7+$N$224)*'Edistynyt vuokratuottolaskuri'!$C$9*(1-'Edistynyt vuokratuottolaskuri'!$C$41))</f>
        <v>0</v>
      </c>
      <c r="O232" s="15">
        <f>-'Edistynyt vuokratuottolaskuri'!$C$10*('Edistynyt vuokratuottolaskuri'!$I$7+N232-('Edistynyt vuokratuottolaskuri'!$I$17-(N232*Veroaste)))/12</f>
        <v>0</v>
      </c>
      <c r="P232" s="15">
        <f>P231+'Edistynyt vuokratuottolaskuri'!$I$19+N232+O232</f>
        <v>7009.1044194197884</v>
      </c>
      <c r="Q232" s="15">
        <f>IF(P231&gt;0,(P231*('Edistynyt vuokratuottolaskuri'!$F$7/12)),0)</f>
        <v>37.806869635942768</v>
      </c>
      <c r="R232" s="15"/>
      <c r="S232" s="15"/>
      <c r="T232" s="15"/>
      <c r="U232" s="15"/>
      <c r="V232" s="15"/>
      <c r="W232" s="15">
        <f>W231+'Edistynyt vuokratuottolaskuri'!$I$19+Q232+N232</f>
        <v>11243.473818645323</v>
      </c>
    </row>
    <row r="233" spans="1:23" x14ac:dyDescent="0.2">
      <c r="B233" s="2">
        <v>225</v>
      </c>
      <c r="C233" s="15">
        <f>C221+('Edistynyt vuokratuottolaskuri'!$C$52*C221)</f>
        <v>92103.355627873185</v>
      </c>
      <c r="D233" s="15">
        <f t="shared" si="20"/>
        <v>3307.1623484509046</v>
      </c>
      <c r="E233" s="15">
        <f>-PMT(('Edistynyt vuokratuottolaskuri'!$C$33/12),('Edistynyt vuokratuottolaskuri'!$C$34*12),('Edistynyt vuokratuottolaskuri'!$C$29),0,0)</f>
        <v>209.63805404269655</v>
      </c>
      <c r="F233" s="15">
        <f>E233-(D233*('Edistynyt vuokratuottolaskuri'!$C$33/12))</f>
        <v>204.12611679527839</v>
      </c>
      <c r="G233" s="15">
        <f>IF(Lyhennystapa="Annuiteetti",(D233-F233),IF(Lyhennystapa="Tasalyhennys",(D233-'Edistynyt vuokratuottolaskuri'!$C$38),IF(Lyhennystapa="Bullet",D232,"")))</f>
        <v>3103.0362316556261</v>
      </c>
      <c r="H233" s="15">
        <f t="shared" si="23"/>
        <v>0</v>
      </c>
      <c r="I233" s="15">
        <f>-PMT(('Edistynyt vuokratuottolaskuri'!$C$18/12),('Edistynyt vuokratuottolaskuri'!$C$19*12),('Edistynyt vuokratuottolaskuri'!$C$17),0,0)</f>
        <v>110.41614461107285</v>
      </c>
      <c r="J233" s="15">
        <f>I233-(H233*('Edistynyt vuokratuottolaskuri'!$C$18/12))</f>
        <v>110.41614461107285</v>
      </c>
      <c r="K233" s="15">
        <f t="shared" si="22"/>
        <v>0</v>
      </c>
      <c r="L233" s="15">
        <f t="shared" si="21"/>
        <v>3103.0362316556261</v>
      </c>
      <c r="M233" s="15">
        <f>'Edistynyt vuokratuottolaskuri'!$C$6-K233-G233</f>
        <v>68896.963768344373</v>
      </c>
      <c r="N233" s="15">
        <f>$N$224+(('Edistynyt vuokratuottolaskuri'!$I$7+$N$224)*'Edistynyt vuokratuottolaskuri'!$C$9*(1-'Edistynyt vuokratuottolaskuri'!$C$41))</f>
        <v>0</v>
      </c>
      <c r="O233" s="15">
        <f>-'Edistynyt vuokratuottolaskuri'!$C$10*('Edistynyt vuokratuottolaskuri'!$I$7+N233-('Edistynyt vuokratuottolaskuri'!$I$17-(N233*Veroaste)))/12</f>
        <v>0</v>
      </c>
      <c r="P233" s="15">
        <f>P232+'Edistynyt vuokratuottolaskuri'!$I$19+N233+O233</f>
        <v>7040.3950641493411</v>
      </c>
      <c r="Q233" s="15">
        <f>IF(P232&gt;0,(P232*('Edistynyt vuokratuottolaskuri'!$F$7/12)),0)</f>
        <v>37.976407167942511</v>
      </c>
      <c r="R233" s="15"/>
      <c r="S233" s="15"/>
      <c r="T233" s="15"/>
      <c r="U233" s="15"/>
      <c r="V233" s="15"/>
      <c r="W233" s="15">
        <f>W232+'Edistynyt vuokratuottolaskuri'!$I$19+Q233+N233</f>
        <v>11312.740870542817</v>
      </c>
    </row>
    <row r="234" spans="1:23" x14ac:dyDescent="0.2">
      <c r="B234" s="2">
        <v>226</v>
      </c>
      <c r="C234" s="15">
        <f>C222+('Edistynyt vuokratuottolaskuri'!$C$52*C222)</f>
        <v>92103.355627873185</v>
      </c>
      <c r="D234" s="15">
        <f t="shared" si="20"/>
        <v>3103.0362316556261</v>
      </c>
      <c r="E234" s="15">
        <f>-PMT(('Edistynyt vuokratuottolaskuri'!$C$33/12),('Edistynyt vuokratuottolaskuri'!$C$34*12),('Edistynyt vuokratuottolaskuri'!$C$29),0,0)</f>
        <v>209.63805404269655</v>
      </c>
      <c r="F234" s="15">
        <f>E234-(D234*('Edistynyt vuokratuottolaskuri'!$C$33/12))</f>
        <v>204.46632698993719</v>
      </c>
      <c r="G234" s="15">
        <f>IF(Lyhennystapa="Annuiteetti",(D234-F234),IF(Lyhennystapa="Tasalyhennys",(D234-'Edistynyt vuokratuottolaskuri'!$C$38),IF(Lyhennystapa="Bullet",D233,"")))</f>
        <v>2898.5699046656891</v>
      </c>
      <c r="H234" s="15">
        <f t="shared" si="23"/>
        <v>0</v>
      </c>
      <c r="I234" s="15">
        <f>-PMT(('Edistynyt vuokratuottolaskuri'!$C$18/12),('Edistynyt vuokratuottolaskuri'!$C$19*12),('Edistynyt vuokratuottolaskuri'!$C$17),0,0)</f>
        <v>110.41614461107285</v>
      </c>
      <c r="J234" s="15">
        <f>I234-(H234*('Edistynyt vuokratuottolaskuri'!$C$18/12))</f>
        <v>110.41614461107285</v>
      </c>
      <c r="K234" s="15">
        <f t="shared" si="22"/>
        <v>0</v>
      </c>
      <c r="L234" s="15">
        <f t="shared" si="21"/>
        <v>2898.5699046656891</v>
      </c>
      <c r="M234" s="15">
        <f>'Edistynyt vuokratuottolaskuri'!$C$6-K234-G234</f>
        <v>69101.430095334304</v>
      </c>
      <c r="N234" s="15">
        <f>$N$224+(('Edistynyt vuokratuottolaskuri'!$I$7+$N$224)*'Edistynyt vuokratuottolaskuri'!$C$9*(1-'Edistynyt vuokratuottolaskuri'!$C$41))</f>
        <v>0</v>
      </c>
      <c r="O234" s="15">
        <f>-'Edistynyt vuokratuottolaskuri'!$C$10*('Edistynyt vuokratuottolaskuri'!$I$7+N234-('Edistynyt vuokratuottolaskuri'!$I$17-(N234*Veroaste)))/12</f>
        <v>0</v>
      </c>
      <c r="P234" s="15">
        <f>P233+'Edistynyt vuokratuottolaskuri'!$I$19+N234+O234</f>
        <v>7071.6857088788938</v>
      </c>
      <c r="Q234" s="15">
        <f>IF(P233&gt;0,(P233*('Edistynyt vuokratuottolaskuri'!$F$7/12)),0)</f>
        <v>38.145944699942255</v>
      </c>
      <c r="R234" s="15"/>
      <c r="S234" s="15"/>
      <c r="T234" s="15"/>
      <c r="U234" s="15"/>
      <c r="V234" s="15"/>
      <c r="W234" s="15">
        <f>W233+'Edistynyt vuokratuottolaskuri'!$I$19+Q234+N234</f>
        <v>11382.17745997231</v>
      </c>
    </row>
    <row r="235" spans="1:23" x14ac:dyDescent="0.2">
      <c r="B235" s="2">
        <v>227</v>
      </c>
      <c r="C235" s="15">
        <f>C223+('Edistynyt vuokratuottolaskuri'!$C$52*C223)</f>
        <v>92103.355627873185</v>
      </c>
      <c r="D235" s="15">
        <f t="shared" si="20"/>
        <v>2898.5699046656891</v>
      </c>
      <c r="E235" s="15">
        <f>-PMT(('Edistynyt vuokratuottolaskuri'!$C$33/12),('Edistynyt vuokratuottolaskuri'!$C$34*12),('Edistynyt vuokratuottolaskuri'!$C$29),0,0)</f>
        <v>209.63805404269655</v>
      </c>
      <c r="F235" s="15">
        <f>E235-(D235*('Edistynyt vuokratuottolaskuri'!$C$33/12))</f>
        <v>204.80710420158707</v>
      </c>
      <c r="G235" s="15">
        <f>IF(Lyhennystapa="Annuiteetti",(D235-F235),IF(Lyhennystapa="Tasalyhennys",(D235-'Edistynyt vuokratuottolaskuri'!$C$38),IF(Lyhennystapa="Bullet",D234,"")))</f>
        <v>2693.7628004641019</v>
      </c>
      <c r="H235" s="15">
        <f t="shared" si="23"/>
        <v>0</v>
      </c>
      <c r="I235" s="15">
        <f>-PMT(('Edistynyt vuokratuottolaskuri'!$C$18/12),('Edistynyt vuokratuottolaskuri'!$C$19*12),('Edistynyt vuokratuottolaskuri'!$C$17),0,0)</f>
        <v>110.41614461107285</v>
      </c>
      <c r="J235" s="15">
        <f>I235-(H235*('Edistynyt vuokratuottolaskuri'!$C$18/12))</f>
        <v>110.41614461107285</v>
      </c>
      <c r="K235" s="15">
        <f t="shared" si="22"/>
        <v>0</v>
      </c>
      <c r="L235" s="15">
        <f t="shared" si="21"/>
        <v>2693.7628004641019</v>
      </c>
      <c r="M235" s="15">
        <f>'Edistynyt vuokratuottolaskuri'!$C$6-K235-G235</f>
        <v>69306.237199535899</v>
      </c>
      <c r="N235" s="15">
        <f>$N$224+(('Edistynyt vuokratuottolaskuri'!$I$7+$N$224)*'Edistynyt vuokratuottolaskuri'!$C$9*(1-'Edistynyt vuokratuottolaskuri'!$C$41))</f>
        <v>0</v>
      </c>
      <c r="O235" s="15">
        <f>-'Edistynyt vuokratuottolaskuri'!$C$10*('Edistynyt vuokratuottolaskuri'!$I$7+N235-('Edistynyt vuokratuottolaskuri'!$I$17-(N235*Veroaste)))/12</f>
        <v>0</v>
      </c>
      <c r="P235" s="15">
        <f>P234+'Edistynyt vuokratuottolaskuri'!$I$19+N235+O235</f>
        <v>7102.9763536084465</v>
      </c>
      <c r="Q235" s="15">
        <f>IF(P234&gt;0,(P234*('Edistynyt vuokratuottolaskuri'!$F$7/12)),0)</f>
        <v>38.315482231941999</v>
      </c>
      <c r="R235" s="15"/>
      <c r="S235" s="15"/>
      <c r="T235" s="15"/>
      <c r="U235" s="15"/>
      <c r="V235" s="15"/>
      <c r="W235" s="15">
        <f>W234+'Edistynyt vuokratuottolaskuri'!$I$19+Q235+N235</f>
        <v>11451.783586933803</v>
      </c>
    </row>
    <row r="236" spans="1:23" x14ac:dyDescent="0.2">
      <c r="B236" s="2">
        <v>228</v>
      </c>
      <c r="C236" s="15">
        <f>C224+('Edistynyt vuokratuottolaskuri'!$C$52*C224)</f>
        <v>92103.355627873185</v>
      </c>
      <c r="D236" s="15">
        <f t="shared" si="20"/>
        <v>2693.7628004641019</v>
      </c>
      <c r="E236" s="15">
        <f>-PMT(('Edistynyt vuokratuottolaskuri'!$C$33/12),('Edistynyt vuokratuottolaskuri'!$C$34*12),('Edistynyt vuokratuottolaskuri'!$C$29),0,0)</f>
        <v>209.63805404269655</v>
      </c>
      <c r="F236" s="15">
        <f>E236-(D236*('Edistynyt vuokratuottolaskuri'!$C$33/12))</f>
        <v>205.14844937525638</v>
      </c>
      <c r="G236" s="15">
        <f>IF(Lyhennystapa="Annuiteetti",(D236-F236),IF(Lyhennystapa="Tasalyhennys",(D236-'Edistynyt vuokratuottolaskuri'!$C$38),IF(Lyhennystapa="Bullet",D235,"")))</f>
        <v>2488.6143510888455</v>
      </c>
      <c r="H236" s="15">
        <f t="shared" si="23"/>
        <v>0</v>
      </c>
      <c r="I236" s="15">
        <f>-PMT(('Edistynyt vuokratuottolaskuri'!$C$18/12),('Edistynyt vuokratuottolaskuri'!$C$19*12),('Edistynyt vuokratuottolaskuri'!$C$17),0,0)</f>
        <v>110.41614461107285</v>
      </c>
      <c r="J236" s="15">
        <f>I236-(H236*('Edistynyt vuokratuottolaskuri'!$C$18/12))</f>
        <v>110.41614461107285</v>
      </c>
      <c r="K236" s="15">
        <f t="shared" si="22"/>
        <v>0</v>
      </c>
      <c r="L236" s="15">
        <f t="shared" si="21"/>
        <v>2488.6143510888455</v>
      </c>
      <c r="M236" s="15">
        <f>'Edistynyt vuokratuottolaskuri'!$C$6-K236-G236</f>
        <v>69511.385648911149</v>
      </c>
      <c r="N236" s="15">
        <f>$N$224+(('Edistynyt vuokratuottolaskuri'!$I$7+$N$224)*'Edistynyt vuokratuottolaskuri'!$C$9*(1-'Edistynyt vuokratuottolaskuri'!$C$41))</f>
        <v>0</v>
      </c>
      <c r="O236" s="15">
        <f>-'Edistynyt vuokratuottolaskuri'!$C$10*('Edistynyt vuokratuottolaskuri'!$I$7+N236-('Edistynyt vuokratuottolaskuri'!$I$17-(N236*Veroaste)))/12</f>
        <v>0</v>
      </c>
      <c r="P236" s="15">
        <f>P235+'Edistynyt vuokratuottolaskuri'!$I$19+N236+O236</f>
        <v>7134.2669983379992</v>
      </c>
      <c r="Q236" s="15">
        <f>IF(P235&gt;0,(P235*('Edistynyt vuokratuottolaskuri'!$F$7/12)),0)</f>
        <v>38.485019763941743</v>
      </c>
      <c r="R236" s="15"/>
      <c r="S236" s="15"/>
      <c r="T236" s="15"/>
      <c r="U236" s="15"/>
      <c r="V236" s="15"/>
      <c r="W236" s="15">
        <f>W235+'Edistynyt vuokratuottolaskuri'!$I$19+Q236+N236</f>
        <v>11521.559251427298</v>
      </c>
    </row>
    <row r="237" spans="1:23" x14ac:dyDescent="0.2">
      <c r="A237" s="2" t="s">
        <v>54</v>
      </c>
      <c r="B237" s="2">
        <v>229</v>
      </c>
      <c r="C237" s="15">
        <f>C225+('Edistynyt vuokratuottolaskuri'!$C$52*C225)</f>
        <v>93024.389184151922</v>
      </c>
      <c r="D237" s="15">
        <f t="shared" si="20"/>
        <v>2488.6143510888455</v>
      </c>
      <c r="E237" s="15">
        <f>-PMT(('Edistynyt vuokratuottolaskuri'!$C$33/12),('Edistynyt vuokratuottolaskuri'!$C$34*12),('Edistynyt vuokratuottolaskuri'!$C$29),0,0)</f>
        <v>209.63805404269655</v>
      </c>
      <c r="F237" s="15">
        <f>E237-(D237*('Edistynyt vuokratuottolaskuri'!$C$33/12))</f>
        <v>205.49036345754848</v>
      </c>
      <c r="G237" s="15">
        <f>IF(Lyhennystapa="Annuiteetti",(D237-F237),IF(Lyhennystapa="Tasalyhennys",(D237-'Edistynyt vuokratuottolaskuri'!$C$38),IF(Lyhennystapa="Bullet",D236,"")))</f>
        <v>2283.123987631297</v>
      </c>
      <c r="H237" s="15">
        <f t="shared" si="23"/>
        <v>0</v>
      </c>
      <c r="I237" s="15">
        <f>-PMT(('Edistynyt vuokratuottolaskuri'!$C$18/12),('Edistynyt vuokratuottolaskuri'!$C$19*12),('Edistynyt vuokratuottolaskuri'!$C$17),0,0)</f>
        <v>110.41614461107285</v>
      </c>
      <c r="J237" s="15">
        <f>I237-(H237*('Edistynyt vuokratuottolaskuri'!$C$18/12))</f>
        <v>110.41614461107285</v>
      </c>
      <c r="K237" s="15">
        <f t="shared" si="22"/>
        <v>0</v>
      </c>
      <c r="L237" s="15">
        <f t="shared" si="21"/>
        <v>2283.123987631297</v>
      </c>
      <c r="M237" s="15">
        <f>'Edistynyt vuokratuottolaskuri'!$C$6-K237-G237</f>
        <v>69716.87601236871</v>
      </c>
      <c r="N237" s="15">
        <f>$N$236+(('Edistynyt vuokratuottolaskuri'!$I$7+$N$236)*'Edistynyt vuokratuottolaskuri'!$C$9*(1-'Edistynyt vuokratuottolaskuri'!$C$41))</f>
        <v>0</v>
      </c>
      <c r="O237" s="15">
        <f>-'Edistynyt vuokratuottolaskuri'!$C$10*('Edistynyt vuokratuottolaskuri'!$I$7+N237-('Edistynyt vuokratuottolaskuri'!$I$17-(N237*Veroaste)))/12</f>
        <v>0</v>
      </c>
      <c r="P237" s="15">
        <f>P236+'Edistynyt vuokratuottolaskuri'!$I$19+N237+O237</f>
        <v>7165.5576430675519</v>
      </c>
      <c r="Q237" s="15">
        <f>IF(P236&gt;0,(P236*('Edistynyt vuokratuottolaskuri'!$F$7/12)),0)</f>
        <v>38.654557295941487</v>
      </c>
      <c r="R237" s="15">
        <f>P236</f>
        <v>7134.2669983379992</v>
      </c>
      <c r="S237" s="15">
        <f>(IF(C237&gt;=$C$9,C237,$C$9))-L236-'Edistynyt vuokratuottolaskuri'!$C$28</f>
        <v>70535.774833063071</v>
      </c>
      <c r="T237" s="15">
        <f>R237+S237</f>
        <v>77670.041831401075</v>
      </c>
      <c r="U237" s="15">
        <f>(R225+(S225*'Edistynyt vuokratuottolaskuri'!$C$42)+U225)*0.1+U225</f>
        <v>106515.61832410003</v>
      </c>
      <c r="V237" s="15">
        <f>T237+U237</f>
        <v>184185.6601555011</v>
      </c>
      <c r="W237" s="15">
        <f>W236+'Edistynyt vuokratuottolaskuri'!$I$19+Q237+N237</f>
        <v>11591.504453452791</v>
      </c>
    </row>
    <row r="238" spans="1:23" x14ac:dyDescent="0.2">
      <c r="B238" s="2">
        <v>230</v>
      </c>
      <c r="C238" s="15">
        <f>C226+('Edistynyt vuokratuottolaskuri'!$C$52*C226)</f>
        <v>93024.389184151922</v>
      </c>
      <c r="D238" s="15">
        <f t="shared" si="20"/>
        <v>2283.123987631297</v>
      </c>
      <c r="E238" s="15">
        <f>-PMT(('Edistynyt vuokratuottolaskuri'!$C$33/12),('Edistynyt vuokratuottolaskuri'!$C$34*12),('Edistynyt vuokratuottolaskuri'!$C$29),0,0)</f>
        <v>209.63805404269655</v>
      </c>
      <c r="F238" s="15">
        <f>E238-(D238*('Edistynyt vuokratuottolaskuri'!$C$33/12))</f>
        <v>205.83284739664438</v>
      </c>
      <c r="G238" s="15">
        <f>IF(Lyhennystapa="Annuiteetti",(D238-F238),IF(Lyhennystapa="Tasalyhennys",(D238-'Edistynyt vuokratuottolaskuri'!$C$38),IF(Lyhennystapa="Bullet",D237,"")))</f>
        <v>2077.2911402346526</v>
      </c>
      <c r="H238" s="15">
        <f t="shared" si="23"/>
        <v>0</v>
      </c>
      <c r="I238" s="15">
        <f>-PMT(('Edistynyt vuokratuottolaskuri'!$C$18/12),('Edistynyt vuokratuottolaskuri'!$C$19*12),('Edistynyt vuokratuottolaskuri'!$C$17),0,0)</f>
        <v>110.41614461107285</v>
      </c>
      <c r="J238" s="15">
        <f>I238-(H238*('Edistynyt vuokratuottolaskuri'!$C$18/12))</f>
        <v>110.41614461107285</v>
      </c>
      <c r="K238" s="15">
        <f t="shared" si="22"/>
        <v>0</v>
      </c>
      <c r="L238" s="15">
        <f t="shared" si="21"/>
        <v>2077.2911402346526</v>
      </c>
      <c r="M238" s="15">
        <f>'Edistynyt vuokratuottolaskuri'!$C$6-K238-G238</f>
        <v>69922.708859765349</v>
      </c>
      <c r="N238" s="15">
        <f>$N$236+(('Edistynyt vuokratuottolaskuri'!$I$7+$N$236)*'Edistynyt vuokratuottolaskuri'!$C$9*(1-'Edistynyt vuokratuottolaskuri'!$C$41))</f>
        <v>0</v>
      </c>
      <c r="O238" s="15">
        <f>-'Edistynyt vuokratuottolaskuri'!$C$10*('Edistynyt vuokratuottolaskuri'!$I$7+N238-('Edistynyt vuokratuottolaskuri'!$I$17-(N238*Veroaste)))/12</f>
        <v>0</v>
      </c>
      <c r="P238" s="15">
        <f>P237+'Edistynyt vuokratuottolaskuri'!$I$19+N238+O238</f>
        <v>7196.8482877971046</v>
      </c>
      <c r="Q238" s="15">
        <f>IF(P237&gt;0,(P237*('Edistynyt vuokratuottolaskuri'!$F$7/12)),0)</f>
        <v>38.824094827941231</v>
      </c>
      <c r="R238" s="15"/>
      <c r="S238" s="15"/>
      <c r="T238" s="15"/>
      <c r="U238" s="15"/>
      <c r="V238" s="15"/>
      <c r="W238" s="15">
        <f>W237+'Edistynyt vuokratuottolaskuri'!$I$19+Q238+N238</f>
        <v>11661.619193010285</v>
      </c>
    </row>
    <row r="239" spans="1:23" x14ac:dyDescent="0.2">
      <c r="B239" s="2">
        <v>231</v>
      </c>
      <c r="C239" s="15">
        <f>C227+('Edistynyt vuokratuottolaskuri'!$C$52*C227)</f>
        <v>93024.389184151922</v>
      </c>
      <c r="D239" s="15">
        <f t="shared" si="20"/>
        <v>2077.2911402346526</v>
      </c>
      <c r="E239" s="15">
        <f>-PMT(('Edistynyt vuokratuottolaskuri'!$C$33/12),('Edistynyt vuokratuottolaskuri'!$C$34*12),('Edistynyt vuokratuottolaskuri'!$C$29),0,0)</f>
        <v>209.63805404269655</v>
      </c>
      <c r="F239" s="15">
        <f>E239-(D239*('Edistynyt vuokratuottolaskuri'!$C$33/12))</f>
        <v>206.17590214230546</v>
      </c>
      <c r="G239" s="15">
        <f>IF(Lyhennystapa="Annuiteetti",(D239-F239),IF(Lyhennystapa="Tasalyhennys",(D239-'Edistynyt vuokratuottolaskuri'!$C$38),IF(Lyhennystapa="Bullet",D238,"")))</f>
        <v>1871.1152380923472</v>
      </c>
      <c r="H239" s="15">
        <f t="shared" si="23"/>
        <v>0</v>
      </c>
      <c r="I239" s="15">
        <f>-PMT(('Edistynyt vuokratuottolaskuri'!$C$18/12),('Edistynyt vuokratuottolaskuri'!$C$19*12),('Edistynyt vuokratuottolaskuri'!$C$17),0,0)</f>
        <v>110.41614461107285</v>
      </c>
      <c r="J239" s="15">
        <f>I239-(H239*('Edistynyt vuokratuottolaskuri'!$C$18/12))</f>
        <v>110.41614461107285</v>
      </c>
      <c r="K239" s="15">
        <f t="shared" si="22"/>
        <v>0</v>
      </c>
      <c r="L239" s="15">
        <f t="shared" si="21"/>
        <v>1871.1152380923472</v>
      </c>
      <c r="M239" s="15">
        <f>'Edistynyt vuokratuottolaskuri'!$C$6-K239-G239</f>
        <v>70128.884761907655</v>
      </c>
      <c r="N239" s="15">
        <f>$N$236+(('Edistynyt vuokratuottolaskuri'!$I$7+$N$236)*'Edistynyt vuokratuottolaskuri'!$C$9*(1-'Edistynyt vuokratuottolaskuri'!$C$41))</f>
        <v>0</v>
      </c>
      <c r="O239" s="15">
        <f>-'Edistynyt vuokratuottolaskuri'!$C$10*('Edistynyt vuokratuottolaskuri'!$I$7+N239-('Edistynyt vuokratuottolaskuri'!$I$17-(N239*Veroaste)))/12</f>
        <v>0</v>
      </c>
      <c r="P239" s="15">
        <f>P238+'Edistynyt vuokratuottolaskuri'!$I$19+N239+O239</f>
        <v>7228.1389325266573</v>
      </c>
      <c r="Q239" s="15">
        <f>IF(P238&gt;0,(P238*('Edistynyt vuokratuottolaskuri'!$F$7/12)),0)</f>
        <v>38.993632359940975</v>
      </c>
      <c r="R239" s="15"/>
      <c r="S239" s="15"/>
      <c r="T239" s="15"/>
      <c r="U239" s="15"/>
      <c r="V239" s="15"/>
      <c r="W239" s="15">
        <f>W238+'Edistynyt vuokratuottolaskuri'!$I$19+Q239+N239</f>
        <v>11731.903470099778</v>
      </c>
    </row>
    <row r="240" spans="1:23" x14ac:dyDescent="0.2">
      <c r="B240" s="2">
        <v>232</v>
      </c>
      <c r="C240" s="15">
        <f>C228+('Edistynyt vuokratuottolaskuri'!$C$52*C228)</f>
        <v>93024.389184151922</v>
      </c>
      <c r="D240" s="15">
        <f t="shared" si="20"/>
        <v>1871.1152380923472</v>
      </c>
      <c r="E240" s="15">
        <f>-PMT(('Edistynyt vuokratuottolaskuri'!$C$33/12),('Edistynyt vuokratuottolaskuri'!$C$34*12),('Edistynyt vuokratuottolaskuri'!$C$29),0,0)</f>
        <v>209.63805404269655</v>
      </c>
      <c r="F240" s="15">
        <f>E240-(D240*('Edistynyt vuokratuottolaskuri'!$C$33/12))</f>
        <v>206.51952864587597</v>
      </c>
      <c r="G240" s="15">
        <f>IF(Lyhennystapa="Annuiteetti",(D240-F240),IF(Lyhennystapa="Tasalyhennys",(D240-'Edistynyt vuokratuottolaskuri'!$C$38),IF(Lyhennystapa="Bullet",D239,"")))</f>
        <v>1664.5957094464713</v>
      </c>
      <c r="H240" s="15">
        <f t="shared" si="23"/>
        <v>0</v>
      </c>
      <c r="I240" s="15">
        <f>-PMT(('Edistynyt vuokratuottolaskuri'!$C$18/12),('Edistynyt vuokratuottolaskuri'!$C$19*12),('Edistynyt vuokratuottolaskuri'!$C$17),0,0)</f>
        <v>110.41614461107285</v>
      </c>
      <c r="J240" s="15">
        <f>I240-(H240*('Edistynyt vuokratuottolaskuri'!$C$18/12))</f>
        <v>110.41614461107285</v>
      </c>
      <c r="K240" s="15">
        <f t="shared" si="22"/>
        <v>0</v>
      </c>
      <c r="L240" s="15">
        <f t="shared" si="21"/>
        <v>1664.5957094464713</v>
      </c>
      <c r="M240" s="15">
        <f>'Edistynyt vuokratuottolaskuri'!$C$6-K240-G240</f>
        <v>70335.404290553532</v>
      </c>
      <c r="N240" s="15">
        <f>$N$236+(('Edistynyt vuokratuottolaskuri'!$I$7+$N$236)*'Edistynyt vuokratuottolaskuri'!$C$9*(1-'Edistynyt vuokratuottolaskuri'!$C$41))</f>
        <v>0</v>
      </c>
      <c r="O240" s="15">
        <f>-'Edistynyt vuokratuottolaskuri'!$C$10*('Edistynyt vuokratuottolaskuri'!$I$7+N240-('Edistynyt vuokratuottolaskuri'!$I$17-(N240*Veroaste)))/12</f>
        <v>0</v>
      </c>
      <c r="P240" s="15">
        <f>P239+'Edistynyt vuokratuottolaskuri'!$I$19+N240+O240</f>
        <v>7259.42957725621</v>
      </c>
      <c r="Q240" s="15">
        <f>IF(P239&gt;0,(P239*('Edistynyt vuokratuottolaskuri'!$F$7/12)),0)</f>
        <v>39.163169891940719</v>
      </c>
      <c r="R240" s="15"/>
      <c r="S240" s="15"/>
      <c r="T240" s="15"/>
      <c r="U240" s="15"/>
      <c r="V240" s="15"/>
      <c r="W240" s="15">
        <f>W239+'Edistynyt vuokratuottolaskuri'!$I$19+Q240+N240</f>
        <v>11802.357284721271</v>
      </c>
    </row>
    <row r="241" spans="1:23" x14ac:dyDescent="0.2">
      <c r="B241" s="2">
        <v>233</v>
      </c>
      <c r="C241" s="15">
        <f>C229+('Edistynyt vuokratuottolaskuri'!$C$52*C229)</f>
        <v>93024.389184151922</v>
      </c>
      <c r="D241" s="15">
        <f t="shared" si="20"/>
        <v>1664.5957094464713</v>
      </c>
      <c r="E241" s="15">
        <f>-PMT(('Edistynyt vuokratuottolaskuri'!$C$33/12),('Edistynyt vuokratuottolaskuri'!$C$34*12),('Edistynyt vuokratuottolaskuri'!$C$29),0,0)</f>
        <v>209.63805404269655</v>
      </c>
      <c r="F241" s="15">
        <f>E241-(D241*('Edistynyt vuokratuottolaskuri'!$C$33/12))</f>
        <v>206.86372786028576</v>
      </c>
      <c r="G241" s="15">
        <f>IF(Lyhennystapa="Annuiteetti",(D241-F241),IF(Lyhennystapa="Tasalyhennys",(D241-'Edistynyt vuokratuottolaskuri'!$C$38),IF(Lyhennystapa="Bullet",D240,"")))</f>
        <v>1457.7319815861856</v>
      </c>
      <c r="H241" s="15">
        <f t="shared" si="23"/>
        <v>0</v>
      </c>
      <c r="I241" s="15">
        <f>-PMT(('Edistynyt vuokratuottolaskuri'!$C$18/12),('Edistynyt vuokratuottolaskuri'!$C$19*12),('Edistynyt vuokratuottolaskuri'!$C$17),0,0)</f>
        <v>110.41614461107285</v>
      </c>
      <c r="J241" s="15">
        <f>I241-(H241*('Edistynyt vuokratuottolaskuri'!$C$18/12))</f>
        <v>110.41614461107285</v>
      </c>
      <c r="K241" s="15">
        <f t="shared" si="22"/>
        <v>0</v>
      </c>
      <c r="L241" s="15">
        <f t="shared" si="21"/>
        <v>1457.7319815861856</v>
      </c>
      <c r="M241" s="15">
        <f>'Edistynyt vuokratuottolaskuri'!$C$6-K241-G241</f>
        <v>70542.268018413815</v>
      </c>
      <c r="N241" s="15">
        <f>$N$236+(('Edistynyt vuokratuottolaskuri'!$I$7+$N$236)*'Edistynyt vuokratuottolaskuri'!$C$9*(1-'Edistynyt vuokratuottolaskuri'!$C$41))</f>
        <v>0</v>
      </c>
      <c r="O241" s="15">
        <f>-'Edistynyt vuokratuottolaskuri'!$C$10*('Edistynyt vuokratuottolaskuri'!$I$7+N241-('Edistynyt vuokratuottolaskuri'!$I$17-(N241*Veroaste)))/12</f>
        <v>0</v>
      </c>
      <c r="P241" s="15">
        <f>P240+'Edistynyt vuokratuottolaskuri'!$I$19+N241+O241</f>
        <v>7290.7202219857627</v>
      </c>
      <c r="Q241" s="15">
        <f>IF(P240&gt;0,(P240*('Edistynyt vuokratuottolaskuri'!$F$7/12)),0)</f>
        <v>39.332707423940462</v>
      </c>
      <c r="R241" s="15"/>
      <c r="S241" s="15"/>
      <c r="T241" s="15"/>
      <c r="U241" s="15"/>
      <c r="V241" s="15"/>
      <c r="W241" s="15">
        <f>W240+'Edistynyt vuokratuottolaskuri'!$I$19+Q241+N241</f>
        <v>11872.980636874763</v>
      </c>
    </row>
    <row r="242" spans="1:23" x14ac:dyDescent="0.2">
      <c r="B242" s="2">
        <v>234</v>
      </c>
      <c r="C242" s="15">
        <f>C230+('Edistynyt vuokratuottolaskuri'!$C$52*C230)</f>
        <v>93024.389184151922</v>
      </c>
      <c r="D242" s="15">
        <f t="shared" si="20"/>
        <v>1457.7319815861856</v>
      </c>
      <c r="E242" s="15">
        <f>-PMT(('Edistynyt vuokratuottolaskuri'!$C$33/12),('Edistynyt vuokratuottolaskuri'!$C$34*12),('Edistynyt vuokratuottolaskuri'!$C$29),0,0)</f>
        <v>209.63805404269655</v>
      </c>
      <c r="F242" s="15">
        <f>E242-(D242*('Edistynyt vuokratuottolaskuri'!$C$33/12))</f>
        <v>207.2085007400529</v>
      </c>
      <c r="G242" s="15">
        <f>IF(Lyhennystapa="Annuiteetti",(D242-F242),IF(Lyhennystapa="Tasalyhennys",(D242-'Edistynyt vuokratuottolaskuri'!$C$38),IF(Lyhennystapa="Bullet",D241,"")))</f>
        <v>1250.5234808461328</v>
      </c>
      <c r="H242" s="15">
        <f t="shared" si="23"/>
        <v>0</v>
      </c>
      <c r="I242" s="15">
        <f>-PMT(('Edistynyt vuokratuottolaskuri'!$C$18/12),('Edistynyt vuokratuottolaskuri'!$C$19*12),('Edistynyt vuokratuottolaskuri'!$C$17),0,0)</f>
        <v>110.41614461107285</v>
      </c>
      <c r="J242" s="15">
        <f>I242-(H242*('Edistynyt vuokratuottolaskuri'!$C$18/12))</f>
        <v>110.41614461107285</v>
      </c>
      <c r="K242" s="15">
        <f t="shared" si="22"/>
        <v>0</v>
      </c>
      <c r="L242" s="15">
        <f t="shared" si="21"/>
        <v>1250.5234808461328</v>
      </c>
      <c r="M242" s="15">
        <f>'Edistynyt vuokratuottolaskuri'!$C$6-K242-G242</f>
        <v>70749.476519153861</v>
      </c>
      <c r="N242" s="15">
        <f>$N$236+(('Edistynyt vuokratuottolaskuri'!$I$7+$N$236)*'Edistynyt vuokratuottolaskuri'!$C$9*(1-'Edistynyt vuokratuottolaskuri'!$C$41))</f>
        <v>0</v>
      </c>
      <c r="O242" s="15">
        <f>-'Edistynyt vuokratuottolaskuri'!$C$10*('Edistynyt vuokratuottolaskuri'!$I$7+N242-('Edistynyt vuokratuottolaskuri'!$I$17-(N242*Veroaste)))/12</f>
        <v>0</v>
      </c>
      <c r="P242" s="15">
        <f>P241+'Edistynyt vuokratuottolaskuri'!$I$19+N242+O242</f>
        <v>7322.0108667153154</v>
      </c>
      <c r="Q242" s="15">
        <f>IF(P241&gt;0,(P241*('Edistynyt vuokratuottolaskuri'!$F$7/12)),0)</f>
        <v>39.502244955940206</v>
      </c>
      <c r="R242" s="15"/>
      <c r="S242" s="15"/>
      <c r="T242" s="15"/>
      <c r="U242" s="15"/>
      <c r="V242" s="15"/>
      <c r="W242" s="15">
        <f>W241+'Edistynyt vuokratuottolaskuri'!$I$19+Q242+N242</f>
        <v>11943.773526560255</v>
      </c>
    </row>
    <row r="243" spans="1:23" x14ac:dyDescent="0.2">
      <c r="B243" s="2">
        <v>235</v>
      </c>
      <c r="C243" s="15">
        <f>C231+('Edistynyt vuokratuottolaskuri'!$C$52*C231)</f>
        <v>93024.389184151922</v>
      </c>
      <c r="D243" s="15">
        <f t="shared" si="20"/>
        <v>1250.5234808461328</v>
      </c>
      <c r="E243" s="15">
        <f>-PMT(('Edistynyt vuokratuottolaskuri'!$C$33/12),('Edistynyt vuokratuottolaskuri'!$C$34*12),('Edistynyt vuokratuottolaskuri'!$C$29),0,0)</f>
        <v>209.63805404269655</v>
      </c>
      <c r="F243" s="15">
        <f>E243-(D243*('Edistynyt vuokratuottolaskuri'!$C$33/12))</f>
        <v>207.55384824128632</v>
      </c>
      <c r="G243" s="15">
        <f>IF(Lyhennystapa="Annuiteetti",(D243-F243),IF(Lyhennystapa="Tasalyhennys",(D243-'Edistynyt vuokratuottolaskuri'!$C$38),IF(Lyhennystapa="Bullet",D242,"")))</f>
        <v>1042.9696326048465</v>
      </c>
      <c r="H243" s="15">
        <f t="shared" si="23"/>
        <v>0</v>
      </c>
      <c r="I243" s="15">
        <f>-PMT(('Edistynyt vuokratuottolaskuri'!$C$18/12),('Edistynyt vuokratuottolaskuri'!$C$19*12),('Edistynyt vuokratuottolaskuri'!$C$17),0,0)</f>
        <v>110.41614461107285</v>
      </c>
      <c r="J243" s="15">
        <f>I243-(H243*('Edistynyt vuokratuottolaskuri'!$C$18/12))</f>
        <v>110.41614461107285</v>
      </c>
      <c r="K243" s="15">
        <f t="shared" si="22"/>
        <v>0</v>
      </c>
      <c r="L243" s="15">
        <f t="shared" si="21"/>
        <v>1042.9696326048465</v>
      </c>
      <c r="M243" s="15">
        <f>'Edistynyt vuokratuottolaskuri'!$C$6-K243-G243</f>
        <v>70957.030367395157</v>
      </c>
      <c r="N243" s="15">
        <f>$N$236+(('Edistynyt vuokratuottolaskuri'!$I$7+$N$236)*'Edistynyt vuokratuottolaskuri'!$C$9*(1-'Edistynyt vuokratuottolaskuri'!$C$41))</f>
        <v>0</v>
      </c>
      <c r="O243" s="15">
        <f>-'Edistynyt vuokratuottolaskuri'!$C$10*('Edistynyt vuokratuottolaskuri'!$I$7+N243-('Edistynyt vuokratuottolaskuri'!$I$17-(N243*Veroaste)))/12</f>
        <v>0</v>
      </c>
      <c r="P243" s="15">
        <f>P242+'Edistynyt vuokratuottolaskuri'!$I$19+N243+O243</f>
        <v>7353.3015114448681</v>
      </c>
      <c r="Q243" s="15">
        <f>IF(P242&gt;0,(P242*('Edistynyt vuokratuottolaskuri'!$F$7/12)),0)</f>
        <v>39.67178248793995</v>
      </c>
      <c r="R243" s="15"/>
      <c r="S243" s="15"/>
      <c r="T243" s="15"/>
      <c r="U243" s="15"/>
      <c r="V243" s="15"/>
      <c r="W243" s="15">
        <f>W242+'Edistynyt vuokratuottolaskuri'!$I$19+Q243+N243</f>
        <v>12014.735953777747</v>
      </c>
    </row>
    <row r="244" spans="1:23" x14ac:dyDescent="0.2">
      <c r="B244" s="2">
        <v>236</v>
      </c>
      <c r="C244" s="15">
        <f>C232+('Edistynyt vuokratuottolaskuri'!$C$52*C232)</f>
        <v>93024.389184151922</v>
      </c>
      <c r="D244" s="15">
        <f t="shared" si="20"/>
        <v>1042.9696326048465</v>
      </c>
      <c r="E244" s="15">
        <f>-PMT(('Edistynyt vuokratuottolaskuri'!$C$33/12),('Edistynyt vuokratuottolaskuri'!$C$34*12),('Edistynyt vuokratuottolaskuri'!$C$29),0,0)</f>
        <v>209.63805404269655</v>
      </c>
      <c r="F244" s="15">
        <f>E244-(D244*('Edistynyt vuokratuottolaskuri'!$C$33/12))</f>
        <v>207.89977132168846</v>
      </c>
      <c r="G244" s="15">
        <f>IF(Lyhennystapa="Annuiteetti",(D244-F244),IF(Lyhennystapa="Tasalyhennys",(D244-'Edistynyt vuokratuottolaskuri'!$C$38),IF(Lyhennystapa="Bullet",D243,"")))</f>
        <v>835.06986128315805</v>
      </c>
      <c r="H244" s="15">
        <f t="shared" si="23"/>
        <v>0</v>
      </c>
      <c r="I244" s="15">
        <f>-PMT(('Edistynyt vuokratuottolaskuri'!$C$18/12),('Edistynyt vuokratuottolaskuri'!$C$19*12),('Edistynyt vuokratuottolaskuri'!$C$17),0,0)</f>
        <v>110.41614461107285</v>
      </c>
      <c r="J244" s="15">
        <f>I244-(H244*('Edistynyt vuokratuottolaskuri'!$C$18/12))</f>
        <v>110.41614461107285</v>
      </c>
      <c r="K244" s="15">
        <f t="shared" si="22"/>
        <v>0</v>
      </c>
      <c r="L244" s="15">
        <f t="shared" si="21"/>
        <v>835.06986128315805</v>
      </c>
      <c r="M244" s="15">
        <f>'Edistynyt vuokratuottolaskuri'!$C$6-K244-G244</f>
        <v>71164.930138716838</v>
      </c>
      <c r="N244" s="15">
        <f>$N$236+(('Edistynyt vuokratuottolaskuri'!$I$7+$N$236)*'Edistynyt vuokratuottolaskuri'!$C$9*(1-'Edistynyt vuokratuottolaskuri'!$C$41))</f>
        <v>0</v>
      </c>
      <c r="O244" s="15">
        <f>-'Edistynyt vuokratuottolaskuri'!$C$10*('Edistynyt vuokratuottolaskuri'!$I$7+N244-('Edistynyt vuokratuottolaskuri'!$I$17-(N244*Veroaste)))/12</f>
        <v>0</v>
      </c>
      <c r="P244" s="15">
        <f>P243+'Edistynyt vuokratuottolaskuri'!$I$19+N244+O244</f>
        <v>7384.5921561744208</v>
      </c>
      <c r="Q244" s="15">
        <f>IF(P243&gt;0,(P243*('Edistynyt vuokratuottolaskuri'!$F$7/12)),0)</f>
        <v>39.841320019939694</v>
      </c>
      <c r="R244" s="15"/>
      <c r="S244" s="15"/>
      <c r="T244" s="15"/>
      <c r="U244" s="15"/>
      <c r="V244" s="15"/>
      <c r="W244" s="15">
        <f>W243+'Edistynyt vuokratuottolaskuri'!$I$19+Q244+N244</f>
        <v>12085.867918527238</v>
      </c>
    </row>
    <row r="245" spans="1:23" x14ac:dyDescent="0.2">
      <c r="B245" s="2">
        <v>237</v>
      </c>
      <c r="C245" s="15">
        <f>C233+('Edistynyt vuokratuottolaskuri'!$C$52*C233)</f>
        <v>93024.389184151922</v>
      </c>
      <c r="D245" s="15">
        <f t="shared" ref="D245:D308" si="24">G244</f>
        <v>835.06986128315805</v>
      </c>
      <c r="E245" s="15">
        <f>-PMT(('Edistynyt vuokratuottolaskuri'!$C$33/12),('Edistynyt vuokratuottolaskuri'!$C$34*12),('Edistynyt vuokratuottolaskuri'!$C$29),0,0)</f>
        <v>209.63805404269655</v>
      </c>
      <c r="F245" s="15">
        <f>E245-(D245*('Edistynyt vuokratuottolaskuri'!$C$33/12))</f>
        <v>208.24627094055796</v>
      </c>
      <c r="G245" s="15">
        <f>IF(Lyhennystapa="Annuiteetti",(D245-F245),IF(Lyhennystapa="Tasalyhennys",(D245-'Edistynyt vuokratuottolaskuri'!$C$38),IF(Lyhennystapa="Bullet",D244,"")))</f>
        <v>626.82359034260003</v>
      </c>
      <c r="H245" s="15">
        <f t="shared" si="23"/>
        <v>0</v>
      </c>
      <c r="I245" s="15">
        <f>-PMT(('Edistynyt vuokratuottolaskuri'!$C$18/12),('Edistynyt vuokratuottolaskuri'!$C$19*12),('Edistynyt vuokratuottolaskuri'!$C$17),0,0)</f>
        <v>110.41614461107285</v>
      </c>
      <c r="J245" s="15">
        <f>I245-(H245*('Edistynyt vuokratuottolaskuri'!$C$18/12))</f>
        <v>110.41614461107285</v>
      </c>
      <c r="K245" s="15">
        <f t="shared" si="22"/>
        <v>0</v>
      </c>
      <c r="L245" s="15">
        <f t="shared" si="21"/>
        <v>626.82359034260003</v>
      </c>
      <c r="M245" s="15">
        <f>'Edistynyt vuokratuottolaskuri'!$C$6-K245-G245</f>
        <v>71373.176409657404</v>
      </c>
      <c r="N245" s="15">
        <f>$N$236+(('Edistynyt vuokratuottolaskuri'!$I$7+$N$236)*'Edistynyt vuokratuottolaskuri'!$C$9*(1-'Edistynyt vuokratuottolaskuri'!$C$41))</f>
        <v>0</v>
      </c>
      <c r="O245" s="15">
        <f>-'Edistynyt vuokratuottolaskuri'!$C$10*('Edistynyt vuokratuottolaskuri'!$I$7+N245-('Edistynyt vuokratuottolaskuri'!$I$17-(N245*Veroaste)))/12</f>
        <v>0</v>
      </c>
      <c r="P245" s="15">
        <f>P244+'Edistynyt vuokratuottolaskuri'!$I$19+N245+O245</f>
        <v>7415.8828009039735</v>
      </c>
      <c r="Q245" s="15">
        <f>IF(P244&gt;0,(P244*('Edistynyt vuokratuottolaskuri'!$F$7/12)),0)</f>
        <v>40.010857551939438</v>
      </c>
      <c r="R245" s="15"/>
      <c r="S245" s="15"/>
      <c r="T245" s="15"/>
      <c r="U245" s="15"/>
      <c r="V245" s="15"/>
      <c r="W245" s="15">
        <f>W244+'Edistynyt vuokratuottolaskuri'!$I$19+Q245+N245</f>
        <v>12157.169420808728</v>
      </c>
    </row>
    <row r="246" spans="1:23" x14ac:dyDescent="0.2">
      <c r="B246" s="2">
        <v>238</v>
      </c>
      <c r="C246" s="15">
        <f>C234+('Edistynyt vuokratuottolaskuri'!$C$52*C234)</f>
        <v>93024.389184151922</v>
      </c>
      <c r="D246" s="15">
        <f t="shared" si="24"/>
        <v>626.82359034260003</v>
      </c>
      <c r="E246" s="15">
        <f>-PMT(('Edistynyt vuokratuottolaskuri'!$C$33/12),('Edistynyt vuokratuottolaskuri'!$C$34*12),('Edistynyt vuokratuottolaskuri'!$C$29),0,0)</f>
        <v>209.63805404269655</v>
      </c>
      <c r="F246" s="15">
        <f>E246-(D246*('Edistynyt vuokratuottolaskuri'!$C$33/12))</f>
        <v>208.59334805879223</v>
      </c>
      <c r="G246" s="15">
        <f>IF(Lyhennystapa="Annuiteetti",(D246-F246),IF(Lyhennystapa="Tasalyhennys",(D246-'Edistynyt vuokratuottolaskuri'!$C$38),IF(Lyhennystapa="Bullet",D245,"")))</f>
        <v>418.2302422838078</v>
      </c>
      <c r="H246" s="15">
        <f t="shared" si="23"/>
        <v>0</v>
      </c>
      <c r="I246" s="15">
        <f>-PMT(('Edistynyt vuokratuottolaskuri'!$C$18/12),('Edistynyt vuokratuottolaskuri'!$C$19*12),('Edistynyt vuokratuottolaskuri'!$C$17),0,0)</f>
        <v>110.41614461107285</v>
      </c>
      <c r="J246" s="15">
        <f>I246-(H246*('Edistynyt vuokratuottolaskuri'!$C$18/12))</f>
        <v>110.41614461107285</v>
      </c>
      <c r="K246" s="15">
        <f t="shared" si="22"/>
        <v>0</v>
      </c>
      <c r="L246" s="15">
        <f t="shared" si="21"/>
        <v>418.2302422838078</v>
      </c>
      <c r="M246" s="15">
        <f>'Edistynyt vuokratuottolaskuri'!$C$6-K246-G246</f>
        <v>71581.769757716189</v>
      </c>
      <c r="N246" s="15">
        <f>$N$236+(('Edistynyt vuokratuottolaskuri'!$I$7+$N$236)*'Edistynyt vuokratuottolaskuri'!$C$9*(1-'Edistynyt vuokratuottolaskuri'!$C$41))</f>
        <v>0</v>
      </c>
      <c r="O246" s="15">
        <f>-'Edistynyt vuokratuottolaskuri'!$C$10*('Edistynyt vuokratuottolaskuri'!$I$7+N246-('Edistynyt vuokratuottolaskuri'!$I$17-(N246*Veroaste)))/12</f>
        <v>0</v>
      </c>
      <c r="P246" s="15">
        <f>P245+'Edistynyt vuokratuottolaskuri'!$I$19+N246+O246</f>
        <v>7447.1734456335262</v>
      </c>
      <c r="Q246" s="15">
        <f>IF(P245&gt;0,(P245*('Edistynyt vuokratuottolaskuri'!$F$7/12)),0)</f>
        <v>40.180395083939182</v>
      </c>
      <c r="R246" s="15"/>
      <c r="S246" s="15"/>
      <c r="T246" s="15"/>
      <c r="U246" s="15"/>
      <c r="V246" s="15"/>
      <c r="W246" s="15">
        <f>W245+'Edistynyt vuokratuottolaskuri'!$I$19+Q246+N246</f>
        <v>12228.640460622219</v>
      </c>
    </row>
    <row r="247" spans="1:23" x14ac:dyDescent="0.2">
      <c r="B247" s="2">
        <v>239</v>
      </c>
      <c r="C247" s="15">
        <f>C235+('Edistynyt vuokratuottolaskuri'!$C$52*C235)</f>
        <v>93024.389184151922</v>
      </c>
      <c r="D247" s="15">
        <f t="shared" si="24"/>
        <v>418.2302422838078</v>
      </c>
      <c r="E247" s="15">
        <f>-PMT(('Edistynyt vuokratuottolaskuri'!$C$33/12),('Edistynyt vuokratuottolaskuri'!$C$34*12),('Edistynyt vuokratuottolaskuri'!$C$29),0,0)</f>
        <v>209.63805404269655</v>
      </c>
      <c r="F247" s="15">
        <f>E247-(D247*('Edistynyt vuokratuottolaskuri'!$C$33/12))</f>
        <v>208.94100363889021</v>
      </c>
      <c r="G247" s="15">
        <f>IF(Lyhennystapa="Annuiteetti",(D247-F247),IF(Lyhennystapa="Tasalyhennys",(D247-'Edistynyt vuokratuottolaskuri'!$C$38),IF(Lyhennystapa="Bullet",D246,"")))</f>
        <v>209.28923864491759</v>
      </c>
      <c r="H247" s="15">
        <f t="shared" si="23"/>
        <v>0</v>
      </c>
      <c r="I247" s="15">
        <f>-PMT(('Edistynyt vuokratuottolaskuri'!$C$18/12),('Edistynyt vuokratuottolaskuri'!$C$19*12),('Edistynyt vuokratuottolaskuri'!$C$17),0,0)</f>
        <v>110.41614461107285</v>
      </c>
      <c r="J247" s="15">
        <f>I247-(H247*('Edistynyt vuokratuottolaskuri'!$C$18/12))</f>
        <v>110.41614461107285</v>
      </c>
      <c r="K247" s="15">
        <f t="shared" si="22"/>
        <v>0</v>
      </c>
      <c r="L247" s="15">
        <f t="shared" si="21"/>
        <v>209.28923864491759</v>
      </c>
      <c r="M247" s="15">
        <f>'Edistynyt vuokratuottolaskuri'!$C$6-K247-G247</f>
        <v>71790.710761355076</v>
      </c>
      <c r="N247" s="15">
        <f>$N$236+(('Edistynyt vuokratuottolaskuri'!$I$7+$N$236)*'Edistynyt vuokratuottolaskuri'!$C$9*(1-'Edistynyt vuokratuottolaskuri'!$C$41))</f>
        <v>0</v>
      </c>
      <c r="O247" s="15">
        <f>-'Edistynyt vuokratuottolaskuri'!$C$10*('Edistynyt vuokratuottolaskuri'!$I$7+N247-('Edistynyt vuokratuottolaskuri'!$I$17-(N247*Veroaste)))/12</f>
        <v>0</v>
      </c>
      <c r="P247" s="15">
        <f>P246+'Edistynyt vuokratuottolaskuri'!$I$19+N247+O247</f>
        <v>7478.4640903630789</v>
      </c>
      <c r="Q247" s="15">
        <f>IF(P246&gt;0,(P246*('Edistynyt vuokratuottolaskuri'!$F$7/12)),0)</f>
        <v>40.349932615938926</v>
      </c>
      <c r="R247" s="15"/>
      <c r="S247" s="15"/>
      <c r="T247" s="15"/>
      <c r="U247" s="15"/>
      <c r="V247" s="15"/>
      <c r="W247" s="15">
        <f>W246+'Edistynyt vuokratuottolaskuri'!$I$19+Q247+N247</f>
        <v>12300.281037967708</v>
      </c>
    </row>
    <row r="248" spans="1:23" x14ac:dyDescent="0.2">
      <c r="B248" s="2">
        <v>240</v>
      </c>
      <c r="C248" s="15">
        <f>C236+('Edistynyt vuokratuottolaskuri'!$C$52*C236)</f>
        <v>93024.389184151922</v>
      </c>
      <c r="D248" s="15">
        <f t="shared" si="24"/>
        <v>209.28923864491759</v>
      </c>
      <c r="E248" s="15">
        <f>-PMT(('Edistynyt vuokratuottolaskuri'!$C$33/12),('Edistynyt vuokratuottolaskuri'!$C$34*12),('Edistynyt vuokratuottolaskuri'!$C$29),0,0)</f>
        <v>209.63805404269655</v>
      </c>
      <c r="F248" s="15">
        <f>E248-(D248*('Edistynyt vuokratuottolaskuri'!$C$33/12))</f>
        <v>209.28923864495502</v>
      </c>
      <c r="G248" s="15">
        <f>IF(Lyhennystapa="Annuiteetti",(D248-F248),IF(Lyhennystapa="Tasalyhennys",(D248-'Edistynyt vuokratuottolaskuri'!$C$38),IF(Lyhennystapa="Bullet",D247,"")))</f>
        <v>-3.7431391319842078E-11</v>
      </c>
      <c r="H248" s="15">
        <f t="shared" si="23"/>
        <v>0</v>
      </c>
      <c r="I248" s="15">
        <f>-PMT(('Edistynyt vuokratuottolaskuri'!$C$18/12),('Edistynyt vuokratuottolaskuri'!$C$19*12),('Edistynyt vuokratuottolaskuri'!$C$17),0,0)</f>
        <v>110.41614461107285</v>
      </c>
      <c r="J248" s="15">
        <f>I248-(H248*('Edistynyt vuokratuottolaskuri'!$C$18/12))</f>
        <v>110.41614461107285</v>
      </c>
      <c r="K248" s="15">
        <f t="shared" si="22"/>
        <v>0</v>
      </c>
      <c r="L248" s="15">
        <f t="shared" si="21"/>
        <v>-3.7431391319842078E-11</v>
      </c>
      <c r="M248" s="15">
        <f>'Edistynyt vuokratuottolaskuri'!$C$6-K248-G248</f>
        <v>72000.000000000044</v>
      </c>
      <c r="N248" s="15">
        <f>$N$236+(('Edistynyt vuokratuottolaskuri'!$I$7+$N$236)*'Edistynyt vuokratuottolaskuri'!$C$9*(1-'Edistynyt vuokratuottolaskuri'!$C$41))</f>
        <v>0</v>
      </c>
      <c r="O248" s="15">
        <f>-'Edistynyt vuokratuottolaskuri'!$C$10*('Edistynyt vuokratuottolaskuri'!$I$7+N248-('Edistynyt vuokratuottolaskuri'!$I$17-(N248*Veroaste)))/12</f>
        <v>0</v>
      </c>
      <c r="P248" s="15">
        <f>P247+'Edistynyt vuokratuottolaskuri'!$I$19+N248+O248</f>
        <v>7509.7547350926316</v>
      </c>
      <c r="Q248" s="15">
        <f>IF(P247&gt;0,(P247*('Edistynyt vuokratuottolaskuri'!$F$7/12)),0)</f>
        <v>40.519470147938669</v>
      </c>
      <c r="R248" s="15"/>
      <c r="S248" s="15"/>
      <c r="T248" s="15"/>
      <c r="U248" s="15"/>
      <c r="V248" s="15"/>
      <c r="W248" s="15">
        <f>W247+'Edistynyt vuokratuottolaskuri'!$I$19+Q248+N248</f>
        <v>12372.0911528452</v>
      </c>
    </row>
    <row r="249" spans="1:23" x14ac:dyDescent="0.2">
      <c r="A249" s="2" t="s">
        <v>55</v>
      </c>
      <c r="B249" s="2">
        <v>241</v>
      </c>
      <c r="C249" s="15">
        <f>C237+('Edistynyt vuokratuottolaskuri'!$C$52*C237)</f>
        <v>93954.633075993435</v>
      </c>
      <c r="D249" s="15">
        <f t="shared" si="24"/>
        <v>-3.7431391319842078E-11</v>
      </c>
      <c r="E249" s="15">
        <f>-PMT(('Edistynyt vuokratuottolaskuri'!$C$33/12),('Edistynyt vuokratuottolaskuri'!$C$34*12),('Edistynyt vuokratuottolaskuri'!$C$29),0,0)</f>
        <v>209.63805404269655</v>
      </c>
      <c r="F249" s="15">
        <f>E249-(D249*('Edistynyt vuokratuottolaskuri'!$C$33/12))</f>
        <v>209.63805404269661</v>
      </c>
      <c r="G249" s="15">
        <f>IF(Lyhennystapa="Annuiteetti",(D249-F249),IF(Lyhennystapa="Tasalyhennys",(D249-'Edistynyt vuokratuottolaskuri'!$C$38),IF(Lyhennystapa="Bullet",D248,"")))</f>
        <v>-209.63805404273404</v>
      </c>
      <c r="H249" s="15">
        <f t="shared" si="23"/>
        <v>0</v>
      </c>
      <c r="I249" s="15">
        <f>-PMT(('Edistynyt vuokratuottolaskuri'!$C$18/12),('Edistynyt vuokratuottolaskuri'!$C$19*12),('Edistynyt vuokratuottolaskuri'!$C$17),0,0)</f>
        <v>110.41614461107285</v>
      </c>
      <c r="J249" s="15">
        <f>I249-(H249*('Edistynyt vuokratuottolaskuri'!$C$18/12))</f>
        <v>110.41614461107285</v>
      </c>
      <c r="K249" s="15">
        <f t="shared" si="22"/>
        <v>0</v>
      </c>
      <c r="L249" s="15">
        <f t="shared" si="21"/>
        <v>-209.63805404273404</v>
      </c>
      <c r="M249" s="15">
        <f>'Edistynyt vuokratuottolaskuri'!$C$6-K249-G249</f>
        <v>72209.638054042734</v>
      </c>
      <c r="N249" s="15">
        <f>$N$248+(('Edistynyt vuokratuottolaskuri'!$I$7+$N$248)*'Edistynyt vuokratuottolaskuri'!$C$9*(1-'Edistynyt vuokratuottolaskuri'!$C$41))</f>
        <v>0</v>
      </c>
      <c r="O249" s="15">
        <f>-'Edistynyt vuokratuottolaskuri'!$C$10*('Edistynyt vuokratuottolaskuri'!$I$7+N249-('Edistynyt vuokratuottolaskuri'!$I$17-(N249*Veroaste)))/12</f>
        <v>0</v>
      </c>
      <c r="P249" s="15">
        <f>P248+'Edistynyt vuokratuottolaskuri'!$I$19+N249+O249</f>
        <v>7541.0453798221843</v>
      </c>
      <c r="Q249" s="15">
        <f>IF(P248&gt;0,(P248*('Edistynyt vuokratuottolaskuri'!$F$7/12)),0)</f>
        <v>40.689007679938406</v>
      </c>
      <c r="R249" s="15">
        <f>P248</f>
        <v>7509.7547350926316</v>
      </c>
      <c r="S249" s="15">
        <f>(IF(C249&gt;=$C$9,C249,$C$9))-L248-'Edistynyt vuokratuottolaskuri'!$C$28</f>
        <v>73954.633075993479</v>
      </c>
      <c r="T249" s="15">
        <f>R249+S249</f>
        <v>81464.387811086111</v>
      </c>
      <c r="U249" s="15">
        <f>(R237+(S237*'Edistynyt vuokratuottolaskuri'!$C$42)+U237)*0.1+U237</f>
        <v>122818.11109465825</v>
      </c>
      <c r="V249" s="15">
        <f>T249+U249</f>
        <v>204282.49890574435</v>
      </c>
      <c r="W249" s="15">
        <f>W248+'Edistynyt vuokratuottolaskuri'!$I$19+Q249+N249</f>
        <v>12444.070805254691</v>
      </c>
    </row>
    <row r="250" spans="1:23" x14ac:dyDescent="0.2">
      <c r="B250" s="2">
        <v>242</v>
      </c>
      <c r="C250" s="15">
        <f>C238+('Edistynyt vuokratuottolaskuri'!$C$52*C238)</f>
        <v>93954.633075993435</v>
      </c>
      <c r="D250" s="15">
        <f t="shared" si="24"/>
        <v>-209.63805404273404</v>
      </c>
      <c r="E250" s="15">
        <f>-PMT(('Edistynyt vuokratuottolaskuri'!$C$33/12),('Edistynyt vuokratuottolaskuri'!$C$34*12),('Edistynyt vuokratuottolaskuri'!$C$29),0,0)</f>
        <v>209.63805404269655</v>
      </c>
      <c r="F250" s="15">
        <f>E250-(D250*('Edistynyt vuokratuottolaskuri'!$C$33/12))</f>
        <v>209.98745079943444</v>
      </c>
      <c r="G250" s="15">
        <f>IF(Lyhennystapa="Annuiteetti",(D250-F250),IF(Lyhennystapa="Tasalyhennys",(D250-'Edistynyt vuokratuottolaskuri'!$C$38),IF(Lyhennystapa="Bullet",D249,"")))</f>
        <v>-419.62550484216848</v>
      </c>
      <c r="H250" s="15">
        <f t="shared" si="23"/>
        <v>0</v>
      </c>
      <c r="I250" s="15">
        <f>-PMT(('Edistynyt vuokratuottolaskuri'!$C$18/12),('Edistynyt vuokratuottolaskuri'!$C$19*12),('Edistynyt vuokratuottolaskuri'!$C$17),0,0)</f>
        <v>110.41614461107285</v>
      </c>
      <c r="J250" s="15">
        <f>I250-(H250*('Edistynyt vuokratuottolaskuri'!$C$18/12))</f>
        <v>110.41614461107285</v>
      </c>
      <c r="K250" s="15">
        <f t="shared" si="22"/>
        <v>0</v>
      </c>
      <c r="L250" s="15">
        <f t="shared" si="21"/>
        <v>-419.62550484216848</v>
      </c>
      <c r="M250" s="15">
        <f>'Edistynyt vuokratuottolaskuri'!$C$6-K250-G250</f>
        <v>72419.625504842174</v>
      </c>
      <c r="N250" s="15">
        <f>$N$248+(('Edistynyt vuokratuottolaskuri'!$I$7+$N$248)*'Edistynyt vuokratuottolaskuri'!$C$9*(1-'Edistynyt vuokratuottolaskuri'!$C$41))</f>
        <v>0</v>
      </c>
      <c r="O250" s="15">
        <f>-'Edistynyt vuokratuottolaskuri'!$C$10*('Edistynyt vuokratuottolaskuri'!$I$7+N250-('Edistynyt vuokratuottolaskuri'!$I$17-(N250*Veroaste)))/12</f>
        <v>0</v>
      </c>
      <c r="P250" s="15">
        <f>P249+'Edistynyt vuokratuottolaskuri'!$I$19+N250+O250</f>
        <v>7572.336024551737</v>
      </c>
      <c r="Q250" s="15">
        <f>IF(P249&gt;0,(P249*('Edistynyt vuokratuottolaskuri'!$F$7/12)),0)</f>
        <v>40.85854521193815</v>
      </c>
      <c r="R250" s="15"/>
      <c r="S250" s="15"/>
      <c r="T250" s="15"/>
      <c r="U250" s="15"/>
      <c r="V250" s="15"/>
      <c r="W250" s="15">
        <f>W249+'Edistynyt vuokratuottolaskuri'!$I$19+Q250+N250</f>
        <v>12516.219995196181</v>
      </c>
    </row>
    <row r="251" spans="1:23" x14ac:dyDescent="0.2">
      <c r="B251" s="2">
        <v>243</v>
      </c>
      <c r="C251" s="15">
        <f>C239+('Edistynyt vuokratuottolaskuri'!$C$52*C239)</f>
        <v>93954.633075993435</v>
      </c>
      <c r="D251" s="15">
        <f t="shared" si="24"/>
        <v>-419.62550484216848</v>
      </c>
      <c r="E251" s="15">
        <f>-PMT(('Edistynyt vuokratuottolaskuri'!$C$33/12),('Edistynyt vuokratuottolaskuri'!$C$34*12),('Edistynyt vuokratuottolaskuri'!$C$29),0,0)</f>
        <v>209.63805404269655</v>
      </c>
      <c r="F251" s="15">
        <f>E251-(D251*('Edistynyt vuokratuottolaskuri'!$C$33/12))</f>
        <v>210.33742988410017</v>
      </c>
      <c r="G251" s="15">
        <f>IF(Lyhennystapa="Annuiteetti",(D251-F251),IF(Lyhennystapa="Tasalyhennys",(D251-'Edistynyt vuokratuottolaskuri'!$C$38),IF(Lyhennystapa="Bullet",D250,"")))</f>
        <v>-629.96293472626871</v>
      </c>
      <c r="H251" s="15">
        <f t="shared" si="23"/>
        <v>0</v>
      </c>
      <c r="I251" s="15">
        <f>-PMT(('Edistynyt vuokratuottolaskuri'!$C$18/12),('Edistynyt vuokratuottolaskuri'!$C$19*12),('Edistynyt vuokratuottolaskuri'!$C$17),0,0)</f>
        <v>110.41614461107285</v>
      </c>
      <c r="J251" s="15">
        <f>I251-(H251*('Edistynyt vuokratuottolaskuri'!$C$18/12))</f>
        <v>110.41614461107285</v>
      </c>
      <c r="K251" s="15">
        <f t="shared" si="22"/>
        <v>0</v>
      </c>
      <c r="L251" s="15">
        <f t="shared" si="21"/>
        <v>-629.96293472626871</v>
      </c>
      <c r="M251" s="15">
        <f>'Edistynyt vuokratuottolaskuri'!$C$6-K251-G251</f>
        <v>72629.962934726267</v>
      </c>
      <c r="N251" s="15">
        <f>$N$248+(('Edistynyt vuokratuottolaskuri'!$I$7+$N$248)*'Edistynyt vuokratuottolaskuri'!$C$9*(1-'Edistynyt vuokratuottolaskuri'!$C$41))</f>
        <v>0</v>
      </c>
      <c r="O251" s="15">
        <f>-'Edistynyt vuokratuottolaskuri'!$C$10*('Edistynyt vuokratuottolaskuri'!$I$7+N251-('Edistynyt vuokratuottolaskuri'!$I$17-(N251*Veroaste)))/12</f>
        <v>0</v>
      </c>
      <c r="P251" s="15">
        <f>P250+'Edistynyt vuokratuottolaskuri'!$I$19+N251+O251</f>
        <v>7603.6266692812897</v>
      </c>
      <c r="Q251" s="15">
        <f>IF(P250&gt;0,(P250*('Edistynyt vuokratuottolaskuri'!$F$7/12)),0)</f>
        <v>41.028082743937894</v>
      </c>
      <c r="R251" s="15"/>
      <c r="S251" s="15"/>
      <c r="T251" s="15"/>
      <c r="U251" s="15"/>
      <c r="V251" s="15"/>
      <c r="W251" s="15">
        <f>W250+'Edistynyt vuokratuottolaskuri'!$I$19+Q251+N251</f>
        <v>12588.538722669671</v>
      </c>
    </row>
    <row r="252" spans="1:23" x14ac:dyDescent="0.2">
      <c r="B252" s="2">
        <v>244</v>
      </c>
      <c r="C252" s="15">
        <f>C240+('Edistynyt vuokratuottolaskuri'!$C$52*C240)</f>
        <v>93954.633075993435</v>
      </c>
      <c r="D252" s="15">
        <f t="shared" si="24"/>
        <v>-629.96293472626871</v>
      </c>
      <c r="E252" s="15">
        <f>-PMT(('Edistynyt vuokratuottolaskuri'!$C$33/12),('Edistynyt vuokratuottolaskuri'!$C$34*12),('Edistynyt vuokratuottolaskuri'!$C$29),0,0)</f>
        <v>209.63805404269655</v>
      </c>
      <c r="F252" s="15">
        <f>E252-(D252*('Edistynyt vuokratuottolaskuri'!$C$33/12))</f>
        <v>210.68799226724033</v>
      </c>
      <c r="G252" s="15">
        <f>IF(Lyhennystapa="Annuiteetti",(D252-F252),IF(Lyhennystapa="Tasalyhennys",(D252-'Edistynyt vuokratuottolaskuri'!$C$38),IF(Lyhennystapa="Bullet",D251,"")))</f>
        <v>-840.65092699350907</v>
      </c>
      <c r="H252" s="15">
        <f t="shared" si="23"/>
        <v>0</v>
      </c>
      <c r="I252" s="15">
        <f>-PMT(('Edistynyt vuokratuottolaskuri'!$C$18/12),('Edistynyt vuokratuottolaskuri'!$C$19*12),('Edistynyt vuokratuottolaskuri'!$C$17),0,0)</f>
        <v>110.41614461107285</v>
      </c>
      <c r="J252" s="15">
        <f>I252-(H252*('Edistynyt vuokratuottolaskuri'!$C$18/12))</f>
        <v>110.41614461107285</v>
      </c>
      <c r="K252" s="15">
        <f t="shared" si="22"/>
        <v>0</v>
      </c>
      <c r="L252" s="15">
        <f t="shared" si="21"/>
        <v>-840.65092699350907</v>
      </c>
      <c r="M252" s="15">
        <f>'Edistynyt vuokratuottolaskuri'!$C$6-K252-G252</f>
        <v>72840.650926993505</v>
      </c>
      <c r="N252" s="15">
        <f>$N$248+(('Edistynyt vuokratuottolaskuri'!$I$7+$N$248)*'Edistynyt vuokratuottolaskuri'!$C$9*(1-'Edistynyt vuokratuottolaskuri'!$C$41))</f>
        <v>0</v>
      </c>
      <c r="O252" s="15">
        <f>-'Edistynyt vuokratuottolaskuri'!$C$10*('Edistynyt vuokratuottolaskuri'!$I$7+N252-('Edistynyt vuokratuottolaskuri'!$I$17-(N252*Veroaste)))/12</f>
        <v>0</v>
      </c>
      <c r="P252" s="15">
        <f>P251+'Edistynyt vuokratuottolaskuri'!$I$19+N252+O252</f>
        <v>7634.9173140108423</v>
      </c>
      <c r="Q252" s="15">
        <f>IF(P251&gt;0,(P251*('Edistynyt vuokratuottolaskuri'!$F$7/12)),0)</f>
        <v>41.197620275937638</v>
      </c>
      <c r="R252" s="15"/>
      <c r="S252" s="15"/>
      <c r="T252" s="15"/>
      <c r="U252" s="15"/>
      <c r="V252" s="15"/>
      <c r="W252" s="15">
        <f>W251+'Edistynyt vuokratuottolaskuri'!$I$19+Q252+N252</f>
        <v>12661.026987675161</v>
      </c>
    </row>
    <row r="253" spans="1:23" x14ac:dyDescent="0.2">
      <c r="B253" s="2">
        <v>245</v>
      </c>
      <c r="C253" s="15">
        <f>C241+('Edistynyt vuokratuottolaskuri'!$C$52*C241)</f>
        <v>93954.633075993435</v>
      </c>
      <c r="D253" s="15">
        <f t="shared" si="24"/>
        <v>-840.65092699350907</v>
      </c>
      <c r="E253" s="15">
        <f>-PMT(('Edistynyt vuokratuottolaskuri'!$C$33/12),('Edistynyt vuokratuottolaskuri'!$C$34*12),('Edistynyt vuokratuottolaskuri'!$C$29),0,0)</f>
        <v>209.63805404269655</v>
      </c>
      <c r="F253" s="15">
        <f>E253-(D253*('Edistynyt vuokratuottolaskuri'!$C$33/12))</f>
        <v>211.03913892101906</v>
      </c>
      <c r="G253" s="15">
        <f>IF(Lyhennystapa="Annuiteetti",(D253-F253),IF(Lyhennystapa="Tasalyhennys",(D253-'Edistynyt vuokratuottolaskuri'!$C$38),IF(Lyhennystapa="Bullet",D252,"")))</f>
        <v>-1051.6900659145281</v>
      </c>
      <c r="H253" s="15">
        <f t="shared" si="23"/>
        <v>0</v>
      </c>
      <c r="I253" s="15">
        <f>-PMT(('Edistynyt vuokratuottolaskuri'!$C$18/12),('Edistynyt vuokratuottolaskuri'!$C$19*12),('Edistynyt vuokratuottolaskuri'!$C$17),0,0)</f>
        <v>110.41614461107285</v>
      </c>
      <c r="J253" s="15">
        <f>I253-(H253*('Edistynyt vuokratuottolaskuri'!$C$18/12))</f>
        <v>110.41614461107285</v>
      </c>
      <c r="K253" s="15">
        <f t="shared" si="22"/>
        <v>0</v>
      </c>
      <c r="L253" s="15">
        <f t="shared" si="21"/>
        <v>-1051.6900659145281</v>
      </c>
      <c r="M253" s="15">
        <f>'Edistynyt vuokratuottolaskuri'!$C$6-K253-G253</f>
        <v>73051.690065914532</v>
      </c>
      <c r="N253" s="15">
        <f>$N$248+(('Edistynyt vuokratuottolaskuri'!$I$7+$N$248)*'Edistynyt vuokratuottolaskuri'!$C$9*(1-'Edistynyt vuokratuottolaskuri'!$C$41))</f>
        <v>0</v>
      </c>
      <c r="O253" s="15">
        <f>-'Edistynyt vuokratuottolaskuri'!$C$10*('Edistynyt vuokratuottolaskuri'!$I$7+N253-('Edistynyt vuokratuottolaskuri'!$I$17-(N253*Veroaste)))/12</f>
        <v>0</v>
      </c>
      <c r="P253" s="15">
        <f>P252+'Edistynyt vuokratuottolaskuri'!$I$19+N253+O253</f>
        <v>7666.207958740395</v>
      </c>
      <c r="Q253" s="15">
        <f>IF(P252&gt;0,(P252*('Edistynyt vuokratuottolaskuri'!$F$7/12)),0)</f>
        <v>41.367157807937382</v>
      </c>
      <c r="R253" s="15"/>
      <c r="S253" s="15"/>
      <c r="T253" s="15"/>
      <c r="U253" s="15"/>
      <c r="V253" s="15"/>
      <c r="W253" s="15">
        <f>W252+'Edistynyt vuokratuottolaskuri'!$I$19+Q253+N253</f>
        <v>12733.68479021265</v>
      </c>
    </row>
    <row r="254" spans="1:23" x14ac:dyDescent="0.2">
      <c r="B254" s="2">
        <v>246</v>
      </c>
      <c r="C254" s="15">
        <f>C242+('Edistynyt vuokratuottolaskuri'!$C$52*C242)</f>
        <v>93954.633075993435</v>
      </c>
      <c r="D254" s="15">
        <f t="shared" si="24"/>
        <v>-1051.6900659145281</v>
      </c>
      <c r="E254" s="15">
        <f>-PMT(('Edistynyt vuokratuottolaskuri'!$C$33/12),('Edistynyt vuokratuottolaskuri'!$C$34*12),('Edistynyt vuokratuottolaskuri'!$C$29),0,0)</f>
        <v>209.63805404269655</v>
      </c>
      <c r="F254" s="15">
        <f>E254-(D254*('Edistynyt vuokratuottolaskuri'!$C$33/12))</f>
        <v>211.39087081922077</v>
      </c>
      <c r="G254" s="15">
        <f>IF(Lyhennystapa="Annuiteetti",(D254-F254),IF(Lyhennystapa="Tasalyhennys",(D254-'Edistynyt vuokratuottolaskuri'!$C$38),IF(Lyhennystapa="Bullet",D253,"")))</f>
        <v>-1263.0809367337488</v>
      </c>
      <c r="H254" s="15">
        <f t="shared" si="23"/>
        <v>0</v>
      </c>
      <c r="I254" s="15">
        <f>-PMT(('Edistynyt vuokratuottolaskuri'!$C$18/12),('Edistynyt vuokratuottolaskuri'!$C$19*12),('Edistynyt vuokratuottolaskuri'!$C$17),0,0)</f>
        <v>110.41614461107285</v>
      </c>
      <c r="J254" s="15">
        <f>I254-(H254*('Edistynyt vuokratuottolaskuri'!$C$18/12))</f>
        <v>110.41614461107285</v>
      </c>
      <c r="K254" s="15">
        <f t="shared" si="22"/>
        <v>0</v>
      </c>
      <c r="L254" s="15">
        <f t="shared" si="21"/>
        <v>-1263.0809367337488</v>
      </c>
      <c r="M254" s="15">
        <f>'Edistynyt vuokratuottolaskuri'!$C$6-K254-G254</f>
        <v>73263.08093673375</v>
      </c>
      <c r="N254" s="15">
        <f>$N$248+(('Edistynyt vuokratuottolaskuri'!$I$7+$N$248)*'Edistynyt vuokratuottolaskuri'!$C$9*(1-'Edistynyt vuokratuottolaskuri'!$C$41))</f>
        <v>0</v>
      </c>
      <c r="O254" s="15">
        <f>-'Edistynyt vuokratuottolaskuri'!$C$10*('Edistynyt vuokratuottolaskuri'!$I$7+N254-('Edistynyt vuokratuottolaskuri'!$I$17-(N254*Veroaste)))/12</f>
        <v>0</v>
      </c>
      <c r="P254" s="15">
        <f>P253+'Edistynyt vuokratuottolaskuri'!$I$19+N254+O254</f>
        <v>7697.4986034699477</v>
      </c>
      <c r="Q254" s="15">
        <f>IF(P253&gt;0,(P253*('Edistynyt vuokratuottolaskuri'!$F$7/12)),0)</f>
        <v>41.536695339937125</v>
      </c>
      <c r="R254" s="15"/>
      <c r="S254" s="15"/>
      <c r="T254" s="15"/>
      <c r="U254" s="15"/>
      <c r="V254" s="15"/>
      <c r="W254" s="15">
        <f>W253+'Edistynyt vuokratuottolaskuri'!$I$19+Q254+N254</f>
        <v>12806.512130282139</v>
      </c>
    </row>
    <row r="255" spans="1:23" x14ac:dyDescent="0.2">
      <c r="B255" s="2">
        <v>247</v>
      </c>
      <c r="C255" s="15">
        <f>C243+('Edistynyt vuokratuottolaskuri'!$C$52*C243)</f>
        <v>93954.633075993435</v>
      </c>
      <c r="D255" s="15">
        <f t="shared" si="24"/>
        <v>-1263.0809367337488</v>
      </c>
      <c r="E255" s="15">
        <f>-PMT(('Edistynyt vuokratuottolaskuri'!$C$33/12),('Edistynyt vuokratuottolaskuri'!$C$34*12),('Edistynyt vuokratuottolaskuri'!$C$29),0,0)</f>
        <v>209.63805404269655</v>
      </c>
      <c r="F255" s="15">
        <f>E255-(D255*('Edistynyt vuokratuottolaskuri'!$C$33/12))</f>
        <v>211.7431889372528</v>
      </c>
      <c r="G255" s="15">
        <f>IF(Lyhennystapa="Annuiteetti",(D255-F255),IF(Lyhennystapa="Tasalyhennys",(D255-'Edistynyt vuokratuottolaskuri'!$C$38),IF(Lyhennystapa="Bullet",D254,"")))</f>
        <v>-1474.8241256710016</v>
      </c>
      <c r="H255" s="15">
        <f t="shared" si="23"/>
        <v>0</v>
      </c>
      <c r="I255" s="15">
        <f>-PMT(('Edistynyt vuokratuottolaskuri'!$C$18/12),('Edistynyt vuokratuottolaskuri'!$C$19*12),('Edistynyt vuokratuottolaskuri'!$C$17),0,0)</f>
        <v>110.41614461107285</v>
      </c>
      <c r="J255" s="15">
        <f>I255-(H255*('Edistynyt vuokratuottolaskuri'!$C$18/12))</f>
        <v>110.41614461107285</v>
      </c>
      <c r="K255" s="15">
        <f t="shared" si="22"/>
        <v>0</v>
      </c>
      <c r="L255" s="15">
        <f t="shared" si="21"/>
        <v>-1474.8241256710016</v>
      </c>
      <c r="M255" s="15">
        <f>'Edistynyt vuokratuottolaskuri'!$C$6-K255-G255</f>
        <v>73474.824125671003</v>
      </c>
      <c r="N255" s="15">
        <f>$N$248+(('Edistynyt vuokratuottolaskuri'!$I$7+$N$248)*'Edistynyt vuokratuottolaskuri'!$C$9*(1-'Edistynyt vuokratuottolaskuri'!$C$41))</f>
        <v>0</v>
      </c>
      <c r="O255" s="15">
        <f>-'Edistynyt vuokratuottolaskuri'!$C$10*('Edistynyt vuokratuottolaskuri'!$I$7+N255-('Edistynyt vuokratuottolaskuri'!$I$17-(N255*Veroaste)))/12</f>
        <v>0</v>
      </c>
      <c r="P255" s="15">
        <f>P254+'Edistynyt vuokratuottolaskuri'!$I$19+N255+O255</f>
        <v>7728.7892481995004</v>
      </c>
      <c r="Q255" s="15">
        <f>IF(P254&gt;0,(P254*('Edistynyt vuokratuottolaskuri'!$F$7/12)),0)</f>
        <v>41.706232871936869</v>
      </c>
      <c r="R255" s="15"/>
      <c r="S255" s="15"/>
      <c r="T255" s="15"/>
      <c r="U255" s="15"/>
      <c r="V255" s="15"/>
      <c r="W255" s="15">
        <f>W254+'Edistynyt vuokratuottolaskuri'!$I$19+Q255+N255</f>
        <v>12879.509007883627</v>
      </c>
    </row>
    <row r="256" spans="1:23" x14ac:dyDescent="0.2">
      <c r="B256" s="2">
        <v>248</v>
      </c>
      <c r="C256" s="15">
        <f>C244+('Edistynyt vuokratuottolaskuri'!$C$52*C244)</f>
        <v>93954.633075993435</v>
      </c>
      <c r="D256" s="15">
        <f t="shared" si="24"/>
        <v>-1474.8241256710016</v>
      </c>
      <c r="E256" s="15">
        <f>-PMT(('Edistynyt vuokratuottolaskuri'!$C$33/12),('Edistynyt vuokratuottolaskuri'!$C$34*12),('Edistynyt vuokratuottolaskuri'!$C$29),0,0)</f>
        <v>209.63805404269655</v>
      </c>
      <c r="F256" s="15">
        <f>E256-(D256*('Edistynyt vuokratuottolaskuri'!$C$33/12))</f>
        <v>212.09609425214822</v>
      </c>
      <c r="G256" s="15">
        <f>IF(Lyhennystapa="Annuiteetti",(D256-F256),IF(Lyhennystapa="Tasalyhennys",(D256-'Edistynyt vuokratuottolaskuri'!$C$38),IF(Lyhennystapa="Bullet",D255,"")))</f>
        <v>-1686.9202199231499</v>
      </c>
      <c r="H256" s="15">
        <f t="shared" si="23"/>
        <v>0</v>
      </c>
      <c r="I256" s="15">
        <f>-PMT(('Edistynyt vuokratuottolaskuri'!$C$18/12),('Edistynyt vuokratuottolaskuri'!$C$19*12),('Edistynyt vuokratuottolaskuri'!$C$17),0,0)</f>
        <v>110.41614461107285</v>
      </c>
      <c r="J256" s="15">
        <f>I256-(H256*('Edistynyt vuokratuottolaskuri'!$C$18/12))</f>
        <v>110.41614461107285</v>
      </c>
      <c r="K256" s="15">
        <f t="shared" si="22"/>
        <v>0</v>
      </c>
      <c r="L256" s="15">
        <f t="shared" si="21"/>
        <v>-1686.9202199231499</v>
      </c>
      <c r="M256" s="15">
        <f>'Edistynyt vuokratuottolaskuri'!$C$6-K256-G256</f>
        <v>73686.920219923151</v>
      </c>
      <c r="N256" s="15">
        <f>$N$248+(('Edistynyt vuokratuottolaskuri'!$I$7+$N$248)*'Edistynyt vuokratuottolaskuri'!$C$9*(1-'Edistynyt vuokratuottolaskuri'!$C$41))</f>
        <v>0</v>
      </c>
      <c r="O256" s="15">
        <f>-'Edistynyt vuokratuottolaskuri'!$C$10*('Edistynyt vuokratuottolaskuri'!$I$7+N256-('Edistynyt vuokratuottolaskuri'!$I$17-(N256*Veroaste)))/12</f>
        <v>0</v>
      </c>
      <c r="P256" s="15">
        <f>P255+'Edistynyt vuokratuottolaskuri'!$I$19+N256+O256</f>
        <v>7760.0798929290531</v>
      </c>
      <c r="Q256" s="15">
        <f>IF(P255&gt;0,(P255*('Edistynyt vuokratuottolaskuri'!$F$7/12)),0)</f>
        <v>41.875770403936613</v>
      </c>
      <c r="R256" s="15"/>
      <c r="S256" s="15"/>
      <c r="T256" s="15"/>
      <c r="U256" s="15"/>
      <c r="V256" s="15"/>
      <c r="W256" s="15">
        <f>W255+'Edistynyt vuokratuottolaskuri'!$I$19+Q256+N256</f>
        <v>12952.675423017115</v>
      </c>
    </row>
    <row r="257" spans="1:23" x14ac:dyDescent="0.2">
      <c r="B257" s="2">
        <v>249</v>
      </c>
      <c r="C257" s="15">
        <f>C245+('Edistynyt vuokratuottolaskuri'!$C$52*C245)</f>
        <v>93954.633075993435</v>
      </c>
      <c r="D257" s="15">
        <f t="shared" si="24"/>
        <v>-1686.9202199231499</v>
      </c>
      <c r="E257" s="15">
        <f>-PMT(('Edistynyt vuokratuottolaskuri'!$C$33/12),('Edistynyt vuokratuottolaskuri'!$C$34*12),('Edistynyt vuokratuottolaskuri'!$C$29),0,0)</f>
        <v>209.63805404269655</v>
      </c>
      <c r="F257" s="15">
        <f>E257-(D257*('Edistynyt vuokratuottolaskuri'!$C$33/12))</f>
        <v>212.44958774256847</v>
      </c>
      <c r="G257" s="15">
        <f>IF(Lyhennystapa="Annuiteetti",(D257-F257),IF(Lyhennystapa="Tasalyhennys",(D257-'Edistynyt vuokratuottolaskuri'!$C$38),IF(Lyhennystapa="Bullet",D256,"")))</f>
        <v>-1899.3698076657183</v>
      </c>
      <c r="H257" s="15">
        <f t="shared" si="23"/>
        <v>0</v>
      </c>
      <c r="I257" s="15">
        <f>-PMT(('Edistynyt vuokratuottolaskuri'!$C$18/12),('Edistynyt vuokratuottolaskuri'!$C$19*12),('Edistynyt vuokratuottolaskuri'!$C$17),0,0)</f>
        <v>110.41614461107285</v>
      </c>
      <c r="J257" s="15">
        <f>I257-(H257*('Edistynyt vuokratuottolaskuri'!$C$18/12))</f>
        <v>110.41614461107285</v>
      </c>
      <c r="K257" s="15">
        <f t="shared" si="22"/>
        <v>0</v>
      </c>
      <c r="L257" s="15">
        <f t="shared" si="21"/>
        <v>-1899.3698076657183</v>
      </c>
      <c r="M257" s="15">
        <f>'Edistynyt vuokratuottolaskuri'!$C$6-K257-G257</f>
        <v>73899.369807665717</v>
      </c>
      <c r="N257" s="15">
        <f>$N$248+(('Edistynyt vuokratuottolaskuri'!$I$7+$N$248)*'Edistynyt vuokratuottolaskuri'!$C$9*(1-'Edistynyt vuokratuottolaskuri'!$C$41))</f>
        <v>0</v>
      </c>
      <c r="O257" s="15">
        <f>-'Edistynyt vuokratuottolaskuri'!$C$10*('Edistynyt vuokratuottolaskuri'!$I$7+N257-('Edistynyt vuokratuottolaskuri'!$I$17-(N257*Veroaste)))/12</f>
        <v>0</v>
      </c>
      <c r="P257" s="15">
        <f>P256+'Edistynyt vuokratuottolaskuri'!$I$19+N257+O257</f>
        <v>7791.3705376586058</v>
      </c>
      <c r="Q257" s="15">
        <f>IF(P256&gt;0,(P256*('Edistynyt vuokratuottolaskuri'!$F$7/12)),0)</f>
        <v>42.045307935936357</v>
      </c>
      <c r="R257" s="15"/>
      <c r="S257" s="15"/>
      <c r="T257" s="15"/>
      <c r="U257" s="15"/>
      <c r="V257" s="15"/>
      <c r="W257" s="15">
        <f>W256+'Edistynyt vuokratuottolaskuri'!$I$19+Q257+N257</f>
        <v>13026.011375682603</v>
      </c>
    </row>
    <row r="258" spans="1:23" x14ac:dyDescent="0.2">
      <c r="B258" s="2">
        <v>250</v>
      </c>
      <c r="C258" s="15">
        <f>C246+('Edistynyt vuokratuottolaskuri'!$C$52*C246)</f>
        <v>93954.633075993435</v>
      </c>
      <c r="D258" s="15">
        <f t="shared" si="24"/>
        <v>-1899.3698076657183</v>
      </c>
      <c r="E258" s="15">
        <f>-PMT(('Edistynyt vuokratuottolaskuri'!$C$33/12),('Edistynyt vuokratuottolaskuri'!$C$34*12),('Edistynyt vuokratuottolaskuri'!$C$29),0,0)</f>
        <v>209.63805404269655</v>
      </c>
      <c r="F258" s="15">
        <f>E258-(D258*('Edistynyt vuokratuottolaskuri'!$C$33/12))</f>
        <v>212.8036703888061</v>
      </c>
      <c r="G258" s="15">
        <f>IF(Lyhennystapa="Annuiteetti",(D258-F258),IF(Lyhennystapa="Tasalyhennys",(D258-'Edistynyt vuokratuottolaskuri'!$C$38),IF(Lyhennystapa="Bullet",D257,"")))</f>
        <v>-2112.1734780545244</v>
      </c>
      <c r="H258" s="15">
        <f t="shared" si="23"/>
        <v>0</v>
      </c>
      <c r="I258" s="15">
        <f>-PMT(('Edistynyt vuokratuottolaskuri'!$C$18/12),('Edistynyt vuokratuottolaskuri'!$C$19*12),('Edistynyt vuokratuottolaskuri'!$C$17),0,0)</f>
        <v>110.41614461107285</v>
      </c>
      <c r="J258" s="15">
        <f>I258-(H258*('Edistynyt vuokratuottolaskuri'!$C$18/12))</f>
        <v>110.41614461107285</v>
      </c>
      <c r="K258" s="15">
        <f t="shared" si="22"/>
        <v>0</v>
      </c>
      <c r="L258" s="15">
        <f t="shared" si="21"/>
        <v>-2112.1734780545244</v>
      </c>
      <c r="M258" s="15">
        <f>'Edistynyt vuokratuottolaskuri'!$C$6-K258-G258</f>
        <v>74112.173478054523</v>
      </c>
      <c r="N258" s="15">
        <f>$N$248+(('Edistynyt vuokratuottolaskuri'!$I$7+$N$248)*'Edistynyt vuokratuottolaskuri'!$C$9*(1-'Edistynyt vuokratuottolaskuri'!$C$41))</f>
        <v>0</v>
      </c>
      <c r="O258" s="15">
        <f>-'Edistynyt vuokratuottolaskuri'!$C$10*('Edistynyt vuokratuottolaskuri'!$I$7+N258-('Edistynyt vuokratuottolaskuri'!$I$17-(N258*Veroaste)))/12</f>
        <v>0</v>
      </c>
      <c r="P258" s="15">
        <f>P257+'Edistynyt vuokratuottolaskuri'!$I$19+N258+O258</f>
        <v>7822.6611823881585</v>
      </c>
      <c r="Q258" s="15">
        <f>IF(P257&gt;0,(P257*('Edistynyt vuokratuottolaskuri'!$F$7/12)),0)</f>
        <v>42.214845467936101</v>
      </c>
      <c r="R258" s="15"/>
      <c r="S258" s="15"/>
      <c r="T258" s="15"/>
      <c r="U258" s="15"/>
      <c r="V258" s="15"/>
      <c r="W258" s="15">
        <f>W257+'Edistynyt vuokratuottolaskuri'!$I$19+Q258+N258</f>
        <v>13099.51686588009</v>
      </c>
    </row>
    <row r="259" spans="1:23" x14ac:dyDescent="0.2">
      <c r="B259" s="2">
        <v>251</v>
      </c>
      <c r="C259" s="15">
        <f>C247+('Edistynyt vuokratuottolaskuri'!$C$52*C247)</f>
        <v>93954.633075993435</v>
      </c>
      <c r="D259" s="15">
        <f t="shared" si="24"/>
        <v>-2112.1734780545244</v>
      </c>
      <c r="E259" s="15">
        <f>-PMT(('Edistynyt vuokratuottolaskuri'!$C$33/12),('Edistynyt vuokratuottolaskuri'!$C$34*12),('Edistynyt vuokratuottolaskuri'!$C$29),0,0)</f>
        <v>209.63805404269655</v>
      </c>
      <c r="F259" s="15">
        <f>E259-(D259*('Edistynyt vuokratuottolaskuri'!$C$33/12))</f>
        <v>213.15834317278743</v>
      </c>
      <c r="G259" s="15">
        <f>IF(Lyhennystapa="Annuiteetti",(D259-F259),IF(Lyhennystapa="Tasalyhennys",(D259-'Edistynyt vuokratuottolaskuri'!$C$38),IF(Lyhennystapa="Bullet",D258,"")))</f>
        <v>-2325.3318212273116</v>
      </c>
      <c r="H259" s="15">
        <f t="shared" si="23"/>
        <v>0</v>
      </c>
      <c r="I259" s="15">
        <f>-PMT(('Edistynyt vuokratuottolaskuri'!$C$18/12),('Edistynyt vuokratuottolaskuri'!$C$19*12),('Edistynyt vuokratuottolaskuri'!$C$17),0,0)</f>
        <v>110.41614461107285</v>
      </c>
      <c r="J259" s="15">
        <f>I259-(H259*('Edistynyt vuokratuottolaskuri'!$C$18/12))</f>
        <v>110.41614461107285</v>
      </c>
      <c r="K259" s="15">
        <f t="shared" si="22"/>
        <v>0</v>
      </c>
      <c r="L259" s="15">
        <f t="shared" si="21"/>
        <v>-2325.3318212273116</v>
      </c>
      <c r="M259" s="15">
        <f>'Edistynyt vuokratuottolaskuri'!$C$6-K259-G259</f>
        <v>74325.331821227315</v>
      </c>
      <c r="N259" s="15">
        <f>$N$248+(('Edistynyt vuokratuottolaskuri'!$I$7+$N$248)*'Edistynyt vuokratuottolaskuri'!$C$9*(1-'Edistynyt vuokratuottolaskuri'!$C$41))</f>
        <v>0</v>
      </c>
      <c r="O259" s="15">
        <f>-'Edistynyt vuokratuottolaskuri'!$C$10*('Edistynyt vuokratuottolaskuri'!$I$7+N259-('Edistynyt vuokratuottolaskuri'!$I$17-(N259*Veroaste)))/12</f>
        <v>0</v>
      </c>
      <c r="P259" s="15">
        <f>P258+'Edistynyt vuokratuottolaskuri'!$I$19+N259+O259</f>
        <v>7853.9518271177112</v>
      </c>
      <c r="Q259" s="15">
        <f>IF(P258&gt;0,(P258*('Edistynyt vuokratuottolaskuri'!$F$7/12)),0)</f>
        <v>42.384382999935845</v>
      </c>
      <c r="R259" s="15"/>
      <c r="S259" s="15"/>
      <c r="T259" s="15"/>
      <c r="U259" s="15"/>
      <c r="V259" s="15"/>
      <c r="W259" s="15">
        <f>W258+'Edistynyt vuokratuottolaskuri'!$I$19+Q259+N259</f>
        <v>13173.191893609577</v>
      </c>
    </row>
    <row r="260" spans="1:23" x14ac:dyDescent="0.2">
      <c r="B260" s="2">
        <v>252</v>
      </c>
      <c r="C260" s="15">
        <f>C248+('Edistynyt vuokratuottolaskuri'!$C$52*C248)</f>
        <v>93954.633075993435</v>
      </c>
      <c r="D260" s="15">
        <f t="shared" si="24"/>
        <v>-2325.3318212273116</v>
      </c>
      <c r="E260" s="15">
        <f>-PMT(('Edistynyt vuokratuottolaskuri'!$C$33/12),('Edistynyt vuokratuottolaskuri'!$C$34*12),('Edistynyt vuokratuottolaskuri'!$C$29),0,0)</f>
        <v>209.63805404269655</v>
      </c>
      <c r="F260" s="15">
        <f>E260-(D260*('Edistynyt vuokratuottolaskuri'!$C$33/12))</f>
        <v>213.51360707807541</v>
      </c>
      <c r="G260" s="15">
        <f>IF(Lyhennystapa="Annuiteetti",(D260-F260),IF(Lyhennystapa="Tasalyhennys",(D260-'Edistynyt vuokratuottolaskuri'!$C$38),IF(Lyhennystapa="Bullet",D259,"")))</f>
        <v>-2538.845428305387</v>
      </c>
      <c r="H260" s="15">
        <f t="shared" si="23"/>
        <v>0</v>
      </c>
      <c r="I260" s="15">
        <f>-PMT(('Edistynyt vuokratuottolaskuri'!$C$18/12),('Edistynyt vuokratuottolaskuri'!$C$19*12),('Edistynyt vuokratuottolaskuri'!$C$17),0,0)</f>
        <v>110.41614461107285</v>
      </c>
      <c r="J260" s="15">
        <f>I260-(H260*('Edistynyt vuokratuottolaskuri'!$C$18/12))</f>
        <v>110.41614461107285</v>
      </c>
      <c r="K260" s="15">
        <f t="shared" si="22"/>
        <v>0</v>
      </c>
      <c r="L260" s="15">
        <f t="shared" si="21"/>
        <v>-2538.845428305387</v>
      </c>
      <c r="M260" s="15">
        <f>'Edistynyt vuokratuottolaskuri'!$C$6-K260-G260</f>
        <v>74538.845428305387</v>
      </c>
      <c r="N260" s="15">
        <f>$N$248+(('Edistynyt vuokratuottolaskuri'!$I$7+$N$248)*'Edistynyt vuokratuottolaskuri'!$C$9*(1-'Edistynyt vuokratuottolaskuri'!$C$41))</f>
        <v>0</v>
      </c>
      <c r="O260" s="15">
        <f>-'Edistynyt vuokratuottolaskuri'!$C$10*('Edistynyt vuokratuottolaskuri'!$I$7+N260-('Edistynyt vuokratuottolaskuri'!$I$17-(N260*Veroaste)))/12</f>
        <v>0</v>
      </c>
      <c r="P260" s="15">
        <f>P259+'Edistynyt vuokratuottolaskuri'!$I$19+N260+O260</f>
        <v>7885.2424718472639</v>
      </c>
      <c r="Q260" s="15">
        <f>IF(P259&gt;0,(P259*('Edistynyt vuokratuottolaskuri'!$F$7/12)),0)</f>
        <v>42.553920531935589</v>
      </c>
      <c r="R260" s="15"/>
      <c r="S260" s="15"/>
      <c r="T260" s="15"/>
      <c r="U260" s="15"/>
      <c r="V260" s="15"/>
      <c r="W260" s="15">
        <f>W259+'Edistynyt vuokratuottolaskuri'!$I$19+Q260+N260</f>
        <v>13247.036458871065</v>
      </c>
    </row>
    <row r="261" spans="1:23" x14ac:dyDescent="0.2">
      <c r="A261" s="2" t="s">
        <v>56</v>
      </c>
      <c r="B261" s="2">
        <v>253</v>
      </c>
      <c r="C261" s="15">
        <f>C249+('Edistynyt vuokratuottolaskuri'!$C$52*C249)</f>
        <v>94894.179406753363</v>
      </c>
      <c r="D261" s="15">
        <f t="shared" si="24"/>
        <v>-2538.845428305387</v>
      </c>
      <c r="E261" s="15">
        <f>-PMT(('Edistynyt vuokratuottolaskuri'!$C$33/12),('Edistynyt vuokratuottolaskuri'!$C$34*12),('Edistynyt vuokratuottolaskuri'!$C$29),0,0)</f>
        <v>209.63805404269655</v>
      </c>
      <c r="F261" s="15">
        <f>E261-(D261*('Edistynyt vuokratuottolaskuri'!$C$33/12))</f>
        <v>213.8694630898722</v>
      </c>
      <c r="G261" s="15">
        <f>IF(Lyhennystapa="Annuiteetti",(D261-F261),IF(Lyhennystapa="Tasalyhennys",(D261-'Edistynyt vuokratuottolaskuri'!$C$38),IF(Lyhennystapa="Bullet",D260,"")))</f>
        <v>-2752.7148913952592</v>
      </c>
      <c r="H261" s="15">
        <f t="shared" si="23"/>
        <v>0</v>
      </c>
      <c r="I261" s="15">
        <f>-PMT(('Edistynyt vuokratuottolaskuri'!$C$18/12),('Edistynyt vuokratuottolaskuri'!$C$19*12),('Edistynyt vuokratuottolaskuri'!$C$17),0,0)</f>
        <v>110.41614461107285</v>
      </c>
      <c r="J261" s="15">
        <f>I261-(H261*('Edistynyt vuokratuottolaskuri'!$C$18/12))</f>
        <v>110.41614461107285</v>
      </c>
      <c r="K261" s="15">
        <f t="shared" si="22"/>
        <v>0</v>
      </c>
      <c r="L261" s="15">
        <f t="shared" si="21"/>
        <v>-2752.7148913952592</v>
      </c>
      <c r="M261" s="15">
        <f>'Edistynyt vuokratuottolaskuri'!$C$6-K261-G261</f>
        <v>74752.714891395255</v>
      </c>
      <c r="N261" s="15">
        <f>$N$260+(('Edistynyt vuokratuottolaskuri'!$I$7+$N$260)*'Edistynyt vuokratuottolaskuri'!$C$9*(1-'Edistynyt vuokratuottolaskuri'!$C$41))</f>
        <v>0</v>
      </c>
      <c r="O261" s="15">
        <f>-'Edistynyt vuokratuottolaskuri'!$C$10*('Edistynyt vuokratuottolaskuri'!$I$7+N261-('Edistynyt vuokratuottolaskuri'!$I$17-(N261*Veroaste)))/12</f>
        <v>0</v>
      </c>
      <c r="P261" s="15">
        <f>P260+'Edistynyt vuokratuottolaskuri'!$I$19+N261+O261</f>
        <v>7916.5331165768166</v>
      </c>
      <c r="Q261" s="15">
        <f>IF(P260&gt;0,(P260*('Edistynyt vuokratuottolaskuri'!$F$7/12)),0)</f>
        <v>42.723458063935333</v>
      </c>
      <c r="R261" s="15">
        <f>P260</f>
        <v>7885.2424718472639</v>
      </c>
      <c r="S261" s="15">
        <f>(IF(C261&gt;=$C$9,C261,$C$9))-L260-'Edistynyt vuokratuottolaskuri'!$C$28</f>
        <v>77433.02483505875</v>
      </c>
      <c r="T261" s="15">
        <f>R261+S261</f>
        <v>85318.267306906011</v>
      </c>
      <c r="U261" s="15">
        <f>(R249+(S249*'Edistynyt vuokratuottolaskuri'!$C$42)+U249)*0.1+U249</f>
        <v>141027.72199295287</v>
      </c>
      <c r="V261" s="15">
        <f>T261+U261</f>
        <v>226345.98929985886</v>
      </c>
      <c r="W261" s="15">
        <f>W260+'Edistynyt vuokratuottolaskuri'!$I$19+Q261+N261</f>
        <v>13321.050561664553</v>
      </c>
    </row>
    <row r="262" spans="1:23" x14ac:dyDescent="0.2">
      <c r="B262" s="2">
        <v>254</v>
      </c>
      <c r="C262" s="15">
        <f>C250+('Edistynyt vuokratuottolaskuri'!$C$52*C250)</f>
        <v>94894.179406753363</v>
      </c>
      <c r="D262" s="15">
        <f t="shared" si="24"/>
        <v>-2752.7148913952592</v>
      </c>
      <c r="E262" s="15">
        <f>-PMT(('Edistynyt vuokratuottolaskuri'!$C$33/12),('Edistynyt vuokratuottolaskuri'!$C$34*12),('Edistynyt vuokratuottolaskuri'!$C$29),0,0)</f>
        <v>209.63805404269655</v>
      </c>
      <c r="F262" s="15">
        <f>E262-(D262*('Edistynyt vuokratuottolaskuri'!$C$33/12))</f>
        <v>214.22591219502198</v>
      </c>
      <c r="G262" s="15">
        <f>IF(Lyhennystapa="Annuiteetti",(D262-F262),IF(Lyhennystapa="Tasalyhennys",(D262-'Edistynyt vuokratuottolaskuri'!$C$38),IF(Lyhennystapa="Bullet",D261,"")))</f>
        <v>-2966.9408035902811</v>
      </c>
      <c r="H262" s="15">
        <f t="shared" si="23"/>
        <v>0</v>
      </c>
      <c r="I262" s="15">
        <f>-PMT(('Edistynyt vuokratuottolaskuri'!$C$18/12),('Edistynyt vuokratuottolaskuri'!$C$19*12),('Edistynyt vuokratuottolaskuri'!$C$17),0,0)</f>
        <v>110.41614461107285</v>
      </c>
      <c r="J262" s="15">
        <f>I262-(H262*('Edistynyt vuokratuottolaskuri'!$C$18/12))</f>
        <v>110.41614461107285</v>
      </c>
      <c r="K262" s="15">
        <f t="shared" si="22"/>
        <v>0</v>
      </c>
      <c r="L262" s="15">
        <f t="shared" si="21"/>
        <v>-2966.9408035902811</v>
      </c>
      <c r="M262" s="15">
        <f>'Edistynyt vuokratuottolaskuri'!$C$6-K262-G262</f>
        <v>74966.940803590274</v>
      </c>
      <c r="N262" s="15">
        <f>$N$260+(('Edistynyt vuokratuottolaskuri'!$I$7+$N$260)*'Edistynyt vuokratuottolaskuri'!$C$9*(1-'Edistynyt vuokratuottolaskuri'!$C$41))</f>
        <v>0</v>
      </c>
      <c r="O262" s="15">
        <f>-'Edistynyt vuokratuottolaskuri'!$C$10*('Edistynyt vuokratuottolaskuri'!$I$7+N262-('Edistynyt vuokratuottolaskuri'!$I$17-(N262*Veroaste)))/12</f>
        <v>0</v>
      </c>
      <c r="P262" s="15">
        <f>P261+'Edistynyt vuokratuottolaskuri'!$I$19+N262+O262</f>
        <v>7947.8237613063693</v>
      </c>
      <c r="Q262" s="15">
        <f>IF(P261&gt;0,(P261*('Edistynyt vuokratuottolaskuri'!$F$7/12)),0)</f>
        <v>42.892995595935076</v>
      </c>
      <c r="R262" s="15"/>
      <c r="S262" s="15"/>
      <c r="T262" s="15"/>
      <c r="U262" s="15"/>
      <c r="V262" s="15"/>
      <c r="W262" s="15">
        <f>W261+'Edistynyt vuokratuottolaskuri'!$I$19+Q262+N262</f>
        <v>13395.234201990041</v>
      </c>
    </row>
    <row r="263" spans="1:23" x14ac:dyDescent="0.2">
      <c r="B263" s="2">
        <v>255</v>
      </c>
      <c r="C263" s="15">
        <f>C251+('Edistynyt vuokratuottolaskuri'!$C$52*C251)</f>
        <v>94894.179406753363</v>
      </c>
      <c r="D263" s="15">
        <f t="shared" si="24"/>
        <v>-2966.9408035902811</v>
      </c>
      <c r="E263" s="15">
        <f>-PMT(('Edistynyt vuokratuottolaskuri'!$C$33/12),('Edistynyt vuokratuottolaskuri'!$C$34*12),('Edistynyt vuokratuottolaskuri'!$C$29),0,0)</f>
        <v>209.63805404269655</v>
      </c>
      <c r="F263" s="15">
        <f>E263-(D263*('Edistynyt vuokratuottolaskuri'!$C$33/12))</f>
        <v>214.58295538201369</v>
      </c>
      <c r="G263" s="15">
        <f>IF(Lyhennystapa="Annuiteetti",(D263-F263),IF(Lyhennystapa="Tasalyhennys",(D263-'Edistynyt vuokratuottolaskuri'!$C$38),IF(Lyhennystapa="Bullet",D262,"")))</f>
        <v>-3181.5237589722947</v>
      </c>
      <c r="H263" s="15">
        <f t="shared" si="23"/>
        <v>0</v>
      </c>
      <c r="I263" s="15">
        <f>-PMT(('Edistynyt vuokratuottolaskuri'!$C$18/12),('Edistynyt vuokratuottolaskuri'!$C$19*12),('Edistynyt vuokratuottolaskuri'!$C$17),0,0)</f>
        <v>110.41614461107285</v>
      </c>
      <c r="J263" s="15">
        <f>I263-(H263*('Edistynyt vuokratuottolaskuri'!$C$18/12))</f>
        <v>110.41614461107285</v>
      </c>
      <c r="K263" s="15">
        <f t="shared" si="22"/>
        <v>0</v>
      </c>
      <c r="L263" s="15">
        <f t="shared" si="21"/>
        <v>-3181.5237589722947</v>
      </c>
      <c r="M263" s="15">
        <f>'Edistynyt vuokratuottolaskuri'!$C$6-K263-G263</f>
        <v>75181.523758972296</v>
      </c>
      <c r="N263" s="15">
        <f>$N$260+(('Edistynyt vuokratuottolaskuri'!$I$7+$N$260)*'Edistynyt vuokratuottolaskuri'!$C$9*(1-'Edistynyt vuokratuottolaskuri'!$C$41))</f>
        <v>0</v>
      </c>
      <c r="O263" s="15">
        <f>-'Edistynyt vuokratuottolaskuri'!$C$10*('Edistynyt vuokratuottolaskuri'!$I$7+N263-('Edistynyt vuokratuottolaskuri'!$I$17-(N263*Veroaste)))/12</f>
        <v>0</v>
      </c>
      <c r="P263" s="15">
        <f>P262+'Edistynyt vuokratuottolaskuri'!$I$19+N263+O263</f>
        <v>7979.114406035922</v>
      </c>
      <c r="Q263" s="15">
        <f>IF(P262&gt;0,(P262*('Edistynyt vuokratuottolaskuri'!$F$7/12)),0)</f>
        <v>43.06253312793482</v>
      </c>
      <c r="R263" s="15"/>
      <c r="S263" s="15"/>
      <c r="T263" s="15"/>
      <c r="U263" s="15"/>
      <c r="V263" s="15"/>
      <c r="W263" s="15">
        <f>W262+'Edistynyt vuokratuottolaskuri'!$I$19+Q263+N263</f>
        <v>13469.587379847528</v>
      </c>
    </row>
    <row r="264" spans="1:23" x14ac:dyDescent="0.2">
      <c r="B264" s="2">
        <v>256</v>
      </c>
      <c r="C264" s="15">
        <f>C252+('Edistynyt vuokratuottolaskuri'!$C$52*C252)</f>
        <v>94894.179406753363</v>
      </c>
      <c r="D264" s="15">
        <f t="shared" si="24"/>
        <v>-3181.5237589722947</v>
      </c>
      <c r="E264" s="15">
        <f>-PMT(('Edistynyt vuokratuottolaskuri'!$C$33/12),('Edistynyt vuokratuottolaskuri'!$C$34*12),('Edistynyt vuokratuottolaskuri'!$C$29),0,0)</f>
        <v>209.63805404269655</v>
      </c>
      <c r="F264" s="15">
        <f>E264-(D264*('Edistynyt vuokratuottolaskuri'!$C$33/12))</f>
        <v>214.94059364098371</v>
      </c>
      <c r="G264" s="15">
        <f>IF(Lyhennystapa="Annuiteetti",(D264-F264),IF(Lyhennystapa="Tasalyhennys",(D264-'Edistynyt vuokratuottolaskuri'!$C$38),IF(Lyhennystapa="Bullet",D263,"")))</f>
        <v>-3396.4643526132786</v>
      </c>
      <c r="H264" s="15">
        <f t="shared" si="23"/>
        <v>0</v>
      </c>
      <c r="I264" s="15">
        <f>-PMT(('Edistynyt vuokratuottolaskuri'!$C$18/12),('Edistynyt vuokratuottolaskuri'!$C$19*12),('Edistynyt vuokratuottolaskuri'!$C$17),0,0)</f>
        <v>110.41614461107285</v>
      </c>
      <c r="J264" s="15">
        <f>I264-(H264*('Edistynyt vuokratuottolaskuri'!$C$18/12))</f>
        <v>110.41614461107285</v>
      </c>
      <c r="K264" s="15">
        <f t="shared" si="22"/>
        <v>0</v>
      </c>
      <c r="L264" s="15">
        <f t="shared" si="21"/>
        <v>-3396.4643526132786</v>
      </c>
      <c r="M264" s="15">
        <f>'Edistynyt vuokratuottolaskuri'!$C$6-K264-G264</f>
        <v>75396.464352613286</v>
      </c>
      <c r="N264" s="15">
        <f>$N$260+(('Edistynyt vuokratuottolaskuri'!$I$7+$N$260)*'Edistynyt vuokratuottolaskuri'!$C$9*(1-'Edistynyt vuokratuottolaskuri'!$C$41))</f>
        <v>0</v>
      </c>
      <c r="O264" s="15">
        <f>-'Edistynyt vuokratuottolaskuri'!$C$10*('Edistynyt vuokratuottolaskuri'!$I$7+N264-('Edistynyt vuokratuottolaskuri'!$I$17-(N264*Veroaste)))/12</f>
        <v>0</v>
      </c>
      <c r="P264" s="15">
        <f>P263+'Edistynyt vuokratuottolaskuri'!$I$19+N264+O264</f>
        <v>8010.4050507654747</v>
      </c>
      <c r="Q264" s="15">
        <f>IF(P263&gt;0,(P263*('Edistynyt vuokratuottolaskuri'!$F$7/12)),0)</f>
        <v>43.232070659934564</v>
      </c>
      <c r="R264" s="15"/>
      <c r="S264" s="15"/>
      <c r="T264" s="15"/>
      <c r="U264" s="15"/>
      <c r="V264" s="15"/>
      <c r="W264" s="15">
        <f>W263+'Edistynyt vuokratuottolaskuri'!$I$19+Q264+N264</f>
        <v>13544.110095237014</v>
      </c>
    </row>
    <row r="265" spans="1:23" x14ac:dyDescent="0.2">
      <c r="B265" s="2">
        <v>257</v>
      </c>
      <c r="C265" s="15">
        <f>C253+('Edistynyt vuokratuottolaskuri'!$C$52*C253)</f>
        <v>94894.179406753363</v>
      </c>
      <c r="D265" s="15">
        <f t="shared" si="24"/>
        <v>-3396.4643526132786</v>
      </c>
      <c r="E265" s="15">
        <f>-PMT(('Edistynyt vuokratuottolaskuri'!$C$33/12),('Edistynyt vuokratuottolaskuri'!$C$34*12),('Edistynyt vuokratuottolaskuri'!$C$29),0,0)</f>
        <v>209.63805404269655</v>
      </c>
      <c r="F265" s="15">
        <f>E265-(D265*('Edistynyt vuokratuottolaskuri'!$C$33/12))</f>
        <v>215.29882796371868</v>
      </c>
      <c r="G265" s="15">
        <f>IF(Lyhennystapa="Annuiteetti",(D265-F265),IF(Lyhennystapa="Tasalyhennys",(D265-'Edistynyt vuokratuottolaskuri'!$C$38),IF(Lyhennystapa="Bullet",D264,"")))</f>
        <v>-3611.7631805769975</v>
      </c>
      <c r="H265" s="15">
        <f t="shared" si="23"/>
        <v>0</v>
      </c>
      <c r="I265" s="15">
        <f>-PMT(('Edistynyt vuokratuottolaskuri'!$C$18/12),('Edistynyt vuokratuottolaskuri'!$C$19*12),('Edistynyt vuokratuottolaskuri'!$C$17),0,0)</f>
        <v>110.41614461107285</v>
      </c>
      <c r="J265" s="15">
        <f>I265-(H265*('Edistynyt vuokratuottolaskuri'!$C$18/12))</f>
        <v>110.41614461107285</v>
      </c>
      <c r="K265" s="15">
        <f t="shared" si="22"/>
        <v>0</v>
      </c>
      <c r="L265" s="15">
        <f t="shared" si="21"/>
        <v>-3611.7631805769975</v>
      </c>
      <c r="M265" s="15">
        <f>'Edistynyt vuokratuottolaskuri'!$C$6-K265-G265</f>
        <v>75611.763180576992</v>
      </c>
      <c r="N265" s="15">
        <f>$N$260+(('Edistynyt vuokratuottolaskuri'!$I$7+$N$260)*'Edistynyt vuokratuottolaskuri'!$C$9*(1-'Edistynyt vuokratuottolaskuri'!$C$41))</f>
        <v>0</v>
      </c>
      <c r="O265" s="15">
        <f>-'Edistynyt vuokratuottolaskuri'!$C$10*('Edistynyt vuokratuottolaskuri'!$I$7+N265-('Edistynyt vuokratuottolaskuri'!$I$17-(N265*Veroaste)))/12</f>
        <v>0</v>
      </c>
      <c r="P265" s="15">
        <f>P264+'Edistynyt vuokratuottolaskuri'!$I$19+N265+O265</f>
        <v>8041.6956954950274</v>
      </c>
      <c r="Q265" s="15">
        <f>IF(P264&gt;0,(P264*('Edistynyt vuokratuottolaskuri'!$F$7/12)),0)</f>
        <v>43.401608191934308</v>
      </c>
      <c r="R265" s="15"/>
      <c r="S265" s="15"/>
      <c r="T265" s="15"/>
      <c r="U265" s="15"/>
      <c r="V265" s="15"/>
      <c r="W265" s="15">
        <f>W264+'Edistynyt vuokratuottolaskuri'!$I$19+Q265+N265</f>
        <v>13618.802348158501</v>
      </c>
    </row>
    <row r="266" spans="1:23" x14ac:dyDescent="0.2">
      <c r="B266" s="2">
        <v>258</v>
      </c>
      <c r="C266" s="15">
        <f>C254+('Edistynyt vuokratuottolaskuri'!$C$52*C254)</f>
        <v>94894.179406753363</v>
      </c>
      <c r="D266" s="15">
        <f t="shared" si="24"/>
        <v>-3611.7631805769975</v>
      </c>
      <c r="E266" s="15">
        <f>-PMT(('Edistynyt vuokratuottolaskuri'!$C$33/12),('Edistynyt vuokratuottolaskuri'!$C$34*12),('Edistynyt vuokratuottolaskuri'!$C$29),0,0)</f>
        <v>209.63805404269655</v>
      </c>
      <c r="F266" s="15">
        <f>E266-(D266*('Edistynyt vuokratuottolaskuri'!$C$33/12))</f>
        <v>215.65765934365822</v>
      </c>
      <c r="G266" s="15">
        <f>IF(Lyhennystapa="Annuiteetti",(D266-F266),IF(Lyhennystapa="Tasalyhennys",(D266-'Edistynyt vuokratuottolaskuri'!$C$38),IF(Lyhennystapa="Bullet",D265,"")))</f>
        <v>-3827.4208399206555</v>
      </c>
      <c r="H266" s="15">
        <f t="shared" si="23"/>
        <v>0</v>
      </c>
      <c r="I266" s="15">
        <f>-PMT(('Edistynyt vuokratuottolaskuri'!$C$18/12),('Edistynyt vuokratuottolaskuri'!$C$19*12),('Edistynyt vuokratuottolaskuri'!$C$17),0,0)</f>
        <v>110.41614461107285</v>
      </c>
      <c r="J266" s="15">
        <f>I266-(H266*('Edistynyt vuokratuottolaskuri'!$C$18/12))</f>
        <v>110.41614461107285</v>
      </c>
      <c r="K266" s="15">
        <f t="shared" si="22"/>
        <v>0</v>
      </c>
      <c r="L266" s="15">
        <f t="shared" ref="L266:L329" si="25">K266+G266</f>
        <v>-3827.4208399206555</v>
      </c>
      <c r="M266" s="15">
        <f>'Edistynyt vuokratuottolaskuri'!$C$6-K266-G266</f>
        <v>75827.420839920655</v>
      </c>
      <c r="N266" s="15">
        <f>$N$260+(('Edistynyt vuokratuottolaskuri'!$I$7+$N$260)*'Edistynyt vuokratuottolaskuri'!$C$9*(1-'Edistynyt vuokratuottolaskuri'!$C$41))</f>
        <v>0</v>
      </c>
      <c r="O266" s="15">
        <f>-'Edistynyt vuokratuottolaskuri'!$C$10*('Edistynyt vuokratuottolaskuri'!$I$7+N266-('Edistynyt vuokratuottolaskuri'!$I$17-(N266*Veroaste)))/12</f>
        <v>0</v>
      </c>
      <c r="P266" s="15">
        <f>P265+'Edistynyt vuokratuottolaskuri'!$I$19+N266+O266</f>
        <v>8072.9863402245801</v>
      </c>
      <c r="Q266" s="15">
        <f>IF(P265&gt;0,(P265*('Edistynyt vuokratuottolaskuri'!$F$7/12)),0)</f>
        <v>43.571145723934052</v>
      </c>
      <c r="R266" s="15"/>
      <c r="S266" s="15"/>
      <c r="T266" s="15"/>
      <c r="U266" s="15"/>
      <c r="V266" s="15"/>
      <c r="W266" s="15">
        <f>W265+'Edistynyt vuokratuottolaskuri'!$I$19+Q266+N266</f>
        <v>13693.664138611986</v>
      </c>
    </row>
    <row r="267" spans="1:23" x14ac:dyDescent="0.2">
      <c r="B267" s="2">
        <v>259</v>
      </c>
      <c r="C267" s="15">
        <f>C255+('Edistynyt vuokratuottolaskuri'!$C$52*C255)</f>
        <v>94894.179406753363</v>
      </c>
      <c r="D267" s="15">
        <f t="shared" si="24"/>
        <v>-3827.4208399206555</v>
      </c>
      <c r="E267" s="15">
        <f>-PMT(('Edistynyt vuokratuottolaskuri'!$C$33/12),('Edistynyt vuokratuottolaskuri'!$C$34*12),('Edistynyt vuokratuottolaskuri'!$C$29),0,0)</f>
        <v>209.63805404269655</v>
      </c>
      <c r="F267" s="15">
        <f>E267-(D267*('Edistynyt vuokratuottolaskuri'!$C$33/12))</f>
        <v>216.01708877589763</v>
      </c>
      <c r="G267" s="15">
        <f>IF(Lyhennystapa="Annuiteetti",(D267-F267),IF(Lyhennystapa="Tasalyhennys",(D267-'Edistynyt vuokratuottolaskuri'!$C$38),IF(Lyhennystapa="Bullet",D266,"")))</f>
        <v>-4043.4379286965532</v>
      </c>
      <c r="H267" s="15">
        <f t="shared" si="23"/>
        <v>0</v>
      </c>
      <c r="I267" s="15">
        <f>-PMT(('Edistynyt vuokratuottolaskuri'!$C$18/12),('Edistynyt vuokratuottolaskuri'!$C$19*12),('Edistynyt vuokratuottolaskuri'!$C$17),0,0)</f>
        <v>110.41614461107285</v>
      </c>
      <c r="J267" s="15">
        <f>I267-(H267*('Edistynyt vuokratuottolaskuri'!$C$18/12))</f>
        <v>110.41614461107285</v>
      </c>
      <c r="K267" s="15">
        <f t="shared" ref="K267:K330" si="26">IF(K266&gt;0.01,H267-J267,0)</f>
        <v>0</v>
      </c>
      <c r="L267" s="15">
        <f t="shared" si="25"/>
        <v>-4043.4379286965532</v>
      </c>
      <c r="M267" s="15">
        <f>'Edistynyt vuokratuottolaskuri'!$C$6-K267-G267</f>
        <v>76043.437928696556</v>
      </c>
      <c r="N267" s="15">
        <f>$N$260+(('Edistynyt vuokratuottolaskuri'!$I$7+$N$260)*'Edistynyt vuokratuottolaskuri'!$C$9*(1-'Edistynyt vuokratuottolaskuri'!$C$41))</f>
        <v>0</v>
      </c>
      <c r="O267" s="15">
        <f>-'Edistynyt vuokratuottolaskuri'!$C$10*('Edistynyt vuokratuottolaskuri'!$I$7+N267-('Edistynyt vuokratuottolaskuri'!$I$17-(N267*Veroaste)))/12</f>
        <v>0</v>
      </c>
      <c r="P267" s="15">
        <f>P266+'Edistynyt vuokratuottolaskuri'!$I$19+N267+O267</f>
        <v>8104.2769849541328</v>
      </c>
      <c r="Q267" s="15">
        <f>IF(P266&gt;0,(P266*('Edistynyt vuokratuottolaskuri'!$F$7/12)),0)</f>
        <v>43.740683255933796</v>
      </c>
      <c r="R267" s="15"/>
      <c r="S267" s="15"/>
      <c r="T267" s="15"/>
      <c r="U267" s="15"/>
      <c r="V267" s="15"/>
      <c r="W267" s="15">
        <f>W266+'Edistynyt vuokratuottolaskuri'!$I$19+Q267+N267</f>
        <v>13768.695466597472</v>
      </c>
    </row>
    <row r="268" spans="1:23" x14ac:dyDescent="0.2">
      <c r="B268" s="2">
        <v>260</v>
      </c>
      <c r="C268" s="15">
        <f>C256+('Edistynyt vuokratuottolaskuri'!$C$52*C256)</f>
        <v>94894.179406753363</v>
      </c>
      <c r="D268" s="15">
        <f t="shared" si="24"/>
        <v>-4043.4379286965532</v>
      </c>
      <c r="E268" s="15">
        <f>-PMT(('Edistynyt vuokratuottolaskuri'!$C$33/12),('Edistynyt vuokratuottolaskuri'!$C$34*12),('Edistynyt vuokratuottolaskuri'!$C$29),0,0)</f>
        <v>209.63805404269655</v>
      </c>
      <c r="F268" s="15">
        <f>E268-(D268*('Edistynyt vuokratuottolaskuri'!$C$33/12))</f>
        <v>216.3771172571908</v>
      </c>
      <c r="G268" s="15">
        <f>IF(Lyhennystapa="Annuiteetti",(D268-F268),IF(Lyhennystapa="Tasalyhennys",(D268-'Edistynyt vuokratuottolaskuri'!$C$38),IF(Lyhennystapa="Bullet",D267,"")))</f>
        <v>-4259.8150459537437</v>
      </c>
      <c r="H268" s="15">
        <f t="shared" si="23"/>
        <v>0</v>
      </c>
      <c r="I268" s="15">
        <f>-PMT(('Edistynyt vuokratuottolaskuri'!$C$18/12),('Edistynyt vuokratuottolaskuri'!$C$19*12),('Edistynyt vuokratuottolaskuri'!$C$17),0,0)</f>
        <v>110.41614461107285</v>
      </c>
      <c r="J268" s="15">
        <f>I268-(H268*('Edistynyt vuokratuottolaskuri'!$C$18/12))</f>
        <v>110.41614461107285</v>
      </c>
      <c r="K268" s="15">
        <f t="shared" si="26"/>
        <v>0</v>
      </c>
      <c r="L268" s="15">
        <f t="shared" si="25"/>
        <v>-4259.8150459537437</v>
      </c>
      <c r="M268" s="15">
        <f>'Edistynyt vuokratuottolaskuri'!$C$6-K268-G268</f>
        <v>76259.815045953743</v>
      </c>
      <c r="N268" s="15">
        <f>$N$260+(('Edistynyt vuokratuottolaskuri'!$I$7+$N$260)*'Edistynyt vuokratuottolaskuri'!$C$9*(1-'Edistynyt vuokratuottolaskuri'!$C$41))</f>
        <v>0</v>
      </c>
      <c r="O268" s="15">
        <f>-'Edistynyt vuokratuottolaskuri'!$C$10*('Edistynyt vuokratuottolaskuri'!$I$7+N268-('Edistynyt vuokratuottolaskuri'!$I$17-(N268*Veroaste)))/12</f>
        <v>0</v>
      </c>
      <c r="P268" s="15">
        <f>P267+'Edistynyt vuokratuottolaskuri'!$I$19+N268+O268</f>
        <v>8135.5676296836855</v>
      </c>
      <c r="Q268" s="15">
        <f>IF(P267&gt;0,(P267*('Edistynyt vuokratuottolaskuri'!$F$7/12)),0)</f>
        <v>43.91022078793354</v>
      </c>
      <c r="R268" s="15"/>
      <c r="S268" s="15"/>
      <c r="T268" s="15"/>
      <c r="U268" s="15"/>
      <c r="V268" s="15"/>
      <c r="W268" s="15">
        <f>W267+'Edistynyt vuokratuottolaskuri'!$I$19+Q268+N268</f>
        <v>13843.896332114957</v>
      </c>
    </row>
    <row r="269" spans="1:23" x14ac:dyDescent="0.2">
      <c r="B269" s="2">
        <v>261</v>
      </c>
      <c r="C269" s="15">
        <f>C257+('Edistynyt vuokratuottolaskuri'!$C$52*C257)</f>
        <v>94894.179406753363</v>
      </c>
      <c r="D269" s="15">
        <f t="shared" si="24"/>
        <v>-4259.8150459537437</v>
      </c>
      <c r="E269" s="15">
        <f>-PMT(('Edistynyt vuokratuottolaskuri'!$C$33/12),('Edistynyt vuokratuottolaskuri'!$C$34*12),('Edistynyt vuokratuottolaskuri'!$C$29),0,0)</f>
        <v>209.63805404269655</v>
      </c>
      <c r="F269" s="15">
        <f>E269-(D269*('Edistynyt vuokratuottolaskuri'!$C$33/12))</f>
        <v>216.7377457859528</v>
      </c>
      <c r="G269" s="15">
        <f>IF(Lyhennystapa="Annuiteetti",(D269-F269),IF(Lyhennystapa="Tasalyhennys",(D269-'Edistynyt vuokratuottolaskuri'!$C$38),IF(Lyhennystapa="Bullet",D268,"")))</f>
        <v>-4476.5527917396967</v>
      </c>
      <c r="H269" s="15">
        <f t="shared" si="23"/>
        <v>0</v>
      </c>
      <c r="I269" s="15">
        <f>-PMT(('Edistynyt vuokratuottolaskuri'!$C$18/12),('Edistynyt vuokratuottolaskuri'!$C$19*12),('Edistynyt vuokratuottolaskuri'!$C$17),0,0)</f>
        <v>110.41614461107285</v>
      </c>
      <c r="J269" s="15">
        <f>I269-(H269*('Edistynyt vuokratuottolaskuri'!$C$18/12))</f>
        <v>110.41614461107285</v>
      </c>
      <c r="K269" s="15">
        <f t="shared" si="26"/>
        <v>0</v>
      </c>
      <c r="L269" s="15">
        <f t="shared" si="25"/>
        <v>-4476.5527917396967</v>
      </c>
      <c r="M269" s="15">
        <f>'Edistynyt vuokratuottolaskuri'!$C$6-K269-G269</f>
        <v>76476.552791739698</v>
      </c>
      <c r="N269" s="15">
        <f>$N$260+(('Edistynyt vuokratuottolaskuri'!$I$7+$N$260)*'Edistynyt vuokratuottolaskuri'!$C$9*(1-'Edistynyt vuokratuottolaskuri'!$C$41))</f>
        <v>0</v>
      </c>
      <c r="O269" s="15">
        <f>-'Edistynyt vuokratuottolaskuri'!$C$10*('Edistynyt vuokratuottolaskuri'!$I$7+N269-('Edistynyt vuokratuottolaskuri'!$I$17-(N269*Veroaste)))/12</f>
        <v>0</v>
      </c>
      <c r="P269" s="15">
        <f>P268+'Edistynyt vuokratuottolaskuri'!$I$19+N269+O269</f>
        <v>8166.8582744132382</v>
      </c>
      <c r="Q269" s="15">
        <f>IF(P268&gt;0,(P268*('Edistynyt vuokratuottolaskuri'!$F$7/12)),0)</f>
        <v>44.079758319933283</v>
      </c>
      <c r="R269" s="15"/>
      <c r="S269" s="15"/>
      <c r="T269" s="15"/>
      <c r="U269" s="15"/>
      <c r="V269" s="15"/>
      <c r="W269" s="15">
        <f>W268+'Edistynyt vuokratuottolaskuri'!$I$19+Q269+N269</f>
        <v>13919.266735164441</v>
      </c>
    </row>
    <row r="270" spans="1:23" x14ac:dyDescent="0.2">
      <c r="B270" s="2">
        <v>262</v>
      </c>
      <c r="C270" s="15">
        <f>C258+('Edistynyt vuokratuottolaskuri'!$C$52*C258)</f>
        <v>94894.179406753363</v>
      </c>
      <c r="D270" s="15">
        <f t="shared" si="24"/>
        <v>-4476.5527917396967</v>
      </c>
      <c r="E270" s="15">
        <f>-PMT(('Edistynyt vuokratuottolaskuri'!$C$33/12),('Edistynyt vuokratuottolaskuri'!$C$34*12),('Edistynyt vuokratuottolaskuri'!$C$29),0,0)</f>
        <v>209.63805404269655</v>
      </c>
      <c r="F270" s="15">
        <f>E270-(D270*('Edistynyt vuokratuottolaskuri'!$C$33/12))</f>
        <v>217.09897536226271</v>
      </c>
      <c r="G270" s="15">
        <f>IF(Lyhennystapa="Annuiteetti",(D270-F270),IF(Lyhennystapa="Tasalyhennys",(D270-'Edistynyt vuokratuottolaskuri'!$C$38),IF(Lyhennystapa="Bullet",D269,"")))</f>
        <v>-4693.6517671019592</v>
      </c>
      <c r="H270" s="15">
        <f t="shared" si="23"/>
        <v>0</v>
      </c>
      <c r="I270" s="15">
        <f>-PMT(('Edistynyt vuokratuottolaskuri'!$C$18/12),('Edistynyt vuokratuottolaskuri'!$C$19*12),('Edistynyt vuokratuottolaskuri'!$C$17),0,0)</f>
        <v>110.41614461107285</v>
      </c>
      <c r="J270" s="15">
        <f>I270-(H270*('Edistynyt vuokratuottolaskuri'!$C$18/12))</f>
        <v>110.41614461107285</v>
      </c>
      <c r="K270" s="15">
        <f t="shared" si="26"/>
        <v>0</v>
      </c>
      <c r="L270" s="15">
        <f t="shared" si="25"/>
        <v>-4693.6517671019592</v>
      </c>
      <c r="M270" s="15">
        <f>'Edistynyt vuokratuottolaskuri'!$C$6-K270-G270</f>
        <v>76693.651767101954</v>
      </c>
      <c r="N270" s="15">
        <f>$N$260+(('Edistynyt vuokratuottolaskuri'!$I$7+$N$260)*'Edistynyt vuokratuottolaskuri'!$C$9*(1-'Edistynyt vuokratuottolaskuri'!$C$41))</f>
        <v>0</v>
      </c>
      <c r="O270" s="15">
        <f>-'Edistynyt vuokratuottolaskuri'!$C$10*('Edistynyt vuokratuottolaskuri'!$I$7+N270-('Edistynyt vuokratuottolaskuri'!$I$17-(N270*Veroaste)))/12</f>
        <v>0</v>
      </c>
      <c r="P270" s="15">
        <f>P269+'Edistynyt vuokratuottolaskuri'!$I$19+N270+O270</f>
        <v>8198.14891914279</v>
      </c>
      <c r="Q270" s="15">
        <f>IF(P269&gt;0,(P269*('Edistynyt vuokratuottolaskuri'!$F$7/12)),0)</f>
        <v>44.249295851933027</v>
      </c>
      <c r="R270" s="15"/>
      <c r="S270" s="15"/>
      <c r="T270" s="15"/>
      <c r="U270" s="15"/>
      <c r="V270" s="15"/>
      <c r="W270" s="15">
        <f>W269+'Edistynyt vuokratuottolaskuri'!$I$19+Q270+N270</f>
        <v>13994.806675745926</v>
      </c>
    </row>
    <row r="271" spans="1:23" x14ac:dyDescent="0.2">
      <c r="B271" s="2">
        <v>263</v>
      </c>
      <c r="C271" s="15">
        <f>C259+('Edistynyt vuokratuottolaskuri'!$C$52*C259)</f>
        <v>94894.179406753363</v>
      </c>
      <c r="D271" s="15">
        <f t="shared" si="24"/>
        <v>-4693.6517671019592</v>
      </c>
      <c r="E271" s="15">
        <f>-PMT(('Edistynyt vuokratuottolaskuri'!$C$33/12),('Edistynyt vuokratuottolaskuri'!$C$34*12),('Edistynyt vuokratuottolaskuri'!$C$29),0,0)</f>
        <v>209.63805404269655</v>
      </c>
      <c r="F271" s="15">
        <f>E271-(D271*('Edistynyt vuokratuottolaskuri'!$C$33/12))</f>
        <v>217.46080698786648</v>
      </c>
      <c r="G271" s="15">
        <f>IF(Lyhennystapa="Annuiteetti",(D271-F271),IF(Lyhennystapa="Tasalyhennys",(D271-'Edistynyt vuokratuottolaskuri'!$C$38),IF(Lyhennystapa="Bullet",D270,"")))</f>
        <v>-4911.112574089826</v>
      </c>
      <c r="H271" s="15">
        <f t="shared" si="23"/>
        <v>0</v>
      </c>
      <c r="I271" s="15">
        <f>-PMT(('Edistynyt vuokratuottolaskuri'!$C$18/12),('Edistynyt vuokratuottolaskuri'!$C$19*12),('Edistynyt vuokratuottolaskuri'!$C$17),0,0)</f>
        <v>110.41614461107285</v>
      </c>
      <c r="J271" s="15">
        <f>I271-(H271*('Edistynyt vuokratuottolaskuri'!$C$18/12))</f>
        <v>110.41614461107285</v>
      </c>
      <c r="K271" s="15">
        <f t="shared" si="26"/>
        <v>0</v>
      </c>
      <c r="L271" s="15">
        <f t="shared" si="25"/>
        <v>-4911.112574089826</v>
      </c>
      <c r="M271" s="15">
        <f>'Edistynyt vuokratuottolaskuri'!$C$6-K271-G271</f>
        <v>76911.112574089828</v>
      </c>
      <c r="N271" s="15">
        <f>$N$260+(('Edistynyt vuokratuottolaskuri'!$I$7+$N$260)*'Edistynyt vuokratuottolaskuri'!$C$9*(1-'Edistynyt vuokratuottolaskuri'!$C$41))</f>
        <v>0</v>
      </c>
      <c r="O271" s="15">
        <f>-'Edistynyt vuokratuottolaskuri'!$C$10*('Edistynyt vuokratuottolaskuri'!$I$7+N271-('Edistynyt vuokratuottolaskuri'!$I$17-(N271*Veroaste)))/12</f>
        <v>0</v>
      </c>
      <c r="P271" s="15">
        <f>P270+'Edistynyt vuokratuottolaskuri'!$I$19+N271+O271</f>
        <v>8229.4395638723418</v>
      </c>
      <c r="Q271" s="15">
        <f>IF(P270&gt;0,(P270*('Edistynyt vuokratuottolaskuri'!$F$7/12)),0)</f>
        <v>44.418833383932764</v>
      </c>
      <c r="R271" s="15"/>
      <c r="S271" s="15"/>
      <c r="T271" s="15"/>
      <c r="U271" s="15"/>
      <c r="V271" s="15"/>
      <c r="W271" s="15">
        <f>W270+'Edistynyt vuokratuottolaskuri'!$I$19+Q271+N271</f>
        <v>14070.516153859409</v>
      </c>
    </row>
    <row r="272" spans="1:23" x14ac:dyDescent="0.2">
      <c r="B272" s="2">
        <v>264</v>
      </c>
      <c r="C272" s="15">
        <f>C260+('Edistynyt vuokratuottolaskuri'!$C$52*C260)</f>
        <v>94894.179406753363</v>
      </c>
      <c r="D272" s="15">
        <f t="shared" si="24"/>
        <v>-4911.112574089826</v>
      </c>
      <c r="E272" s="15">
        <f>-PMT(('Edistynyt vuokratuottolaskuri'!$C$33/12),('Edistynyt vuokratuottolaskuri'!$C$34*12),('Edistynyt vuokratuottolaskuri'!$C$29),0,0)</f>
        <v>209.63805404269655</v>
      </c>
      <c r="F272" s="15">
        <f>E272-(D272*('Edistynyt vuokratuottolaskuri'!$C$33/12))</f>
        <v>217.8232416661796</v>
      </c>
      <c r="G272" s="15">
        <f>IF(Lyhennystapa="Annuiteetti",(D272-F272),IF(Lyhennystapa="Tasalyhennys",(D272-'Edistynyt vuokratuottolaskuri'!$C$38),IF(Lyhennystapa="Bullet",D271,"")))</f>
        <v>-5128.9358157560055</v>
      </c>
      <c r="H272" s="15">
        <f t="shared" si="23"/>
        <v>0</v>
      </c>
      <c r="I272" s="15">
        <f>-PMT(('Edistynyt vuokratuottolaskuri'!$C$18/12),('Edistynyt vuokratuottolaskuri'!$C$19*12),('Edistynyt vuokratuottolaskuri'!$C$17),0,0)</f>
        <v>110.41614461107285</v>
      </c>
      <c r="J272" s="15">
        <f>I272-(H272*('Edistynyt vuokratuottolaskuri'!$C$18/12))</f>
        <v>110.41614461107285</v>
      </c>
      <c r="K272" s="15">
        <f t="shared" si="26"/>
        <v>0</v>
      </c>
      <c r="L272" s="15">
        <f t="shared" si="25"/>
        <v>-5128.9358157560055</v>
      </c>
      <c r="M272" s="15">
        <f>'Edistynyt vuokratuottolaskuri'!$C$6-K272-G272</f>
        <v>77128.935815756005</v>
      </c>
      <c r="N272" s="15">
        <f>$N$260+(('Edistynyt vuokratuottolaskuri'!$I$7+$N$260)*'Edistynyt vuokratuottolaskuri'!$C$9*(1-'Edistynyt vuokratuottolaskuri'!$C$41))</f>
        <v>0</v>
      </c>
      <c r="O272" s="15">
        <f>-'Edistynyt vuokratuottolaskuri'!$C$10*('Edistynyt vuokratuottolaskuri'!$I$7+N272-('Edistynyt vuokratuottolaskuri'!$I$17-(N272*Veroaste)))/12</f>
        <v>0</v>
      </c>
      <c r="P272" s="15">
        <f>P271+'Edistynyt vuokratuottolaskuri'!$I$19+N272+O272</f>
        <v>8260.7302086018935</v>
      </c>
      <c r="Q272" s="15">
        <f>IF(P271&gt;0,(P271*('Edistynyt vuokratuottolaskuri'!$F$7/12)),0)</f>
        <v>44.588370915932508</v>
      </c>
      <c r="R272" s="15"/>
      <c r="S272" s="15"/>
      <c r="T272" s="15"/>
      <c r="U272" s="15"/>
      <c r="V272" s="15"/>
      <c r="W272" s="15">
        <f>W271+'Edistynyt vuokratuottolaskuri'!$I$19+Q272+N272</f>
        <v>14146.395169504895</v>
      </c>
    </row>
    <row r="273" spans="1:23" x14ac:dyDescent="0.2">
      <c r="A273" s="2" t="s">
        <v>57</v>
      </c>
      <c r="B273" s="2">
        <v>265</v>
      </c>
      <c r="C273" s="15">
        <f>C261+('Edistynyt vuokratuottolaskuri'!$C$52*C261)</f>
        <v>95843.121200820897</v>
      </c>
      <c r="D273" s="15">
        <f t="shared" si="24"/>
        <v>-5128.9358157560055</v>
      </c>
      <c r="E273" s="15">
        <f>-PMT(('Edistynyt vuokratuottolaskuri'!$C$33/12),('Edistynyt vuokratuottolaskuri'!$C$34*12),('Edistynyt vuokratuottolaskuri'!$C$29),0,0)</f>
        <v>209.63805404269655</v>
      </c>
      <c r="F273" s="15">
        <f>E273-(D273*('Edistynyt vuokratuottolaskuri'!$C$33/12))</f>
        <v>218.1862804022899</v>
      </c>
      <c r="G273" s="15">
        <f>IF(Lyhennystapa="Annuiteetti",(D273-F273),IF(Lyhennystapa="Tasalyhennys",(D273-'Edistynyt vuokratuottolaskuri'!$C$38),IF(Lyhennystapa="Bullet",D272,"")))</f>
        <v>-5347.1220961582958</v>
      </c>
      <c r="H273" s="15">
        <f t="shared" si="23"/>
        <v>0</v>
      </c>
      <c r="I273" s="15">
        <f>-PMT(('Edistynyt vuokratuottolaskuri'!$C$18/12),('Edistynyt vuokratuottolaskuri'!$C$19*12),('Edistynyt vuokratuottolaskuri'!$C$17),0,0)</f>
        <v>110.41614461107285</v>
      </c>
      <c r="J273" s="15">
        <f>I273-(H273*('Edistynyt vuokratuottolaskuri'!$C$18/12))</f>
        <v>110.41614461107285</v>
      </c>
      <c r="K273" s="15">
        <f t="shared" si="26"/>
        <v>0</v>
      </c>
      <c r="L273" s="15">
        <f t="shared" si="25"/>
        <v>-5347.1220961582958</v>
      </c>
      <c r="M273" s="15">
        <f>'Edistynyt vuokratuottolaskuri'!$C$6-K273-G273</f>
        <v>77347.122096158302</v>
      </c>
      <c r="N273" s="15">
        <f>$N$272+(('Edistynyt vuokratuottolaskuri'!$I$7+$N$272)*'Edistynyt vuokratuottolaskuri'!$C$9*(1-'Edistynyt vuokratuottolaskuri'!$C$41))</f>
        <v>0</v>
      </c>
      <c r="O273" s="15">
        <f>-'Edistynyt vuokratuottolaskuri'!$C$10*('Edistynyt vuokratuottolaskuri'!$I$7+N273-('Edistynyt vuokratuottolaskuri'!$I$17-(N273*Veroaste)))/12</f>
        <v>0</v>
      </c>
      <c r="P273" s="15">
        <f>P272+'Edistynyt vuokratuottolaskuri'!$I$19+N273+O273</f>
        <v>8292.0208533314453</v>
      </c>
      <c r="Q273" s="15">
        <f>IF(P272&gt;0,(P272*('Edistynyt vuokratuottolaskuri'!$F$7/12)),0)</f>
        <v>44.757908447932245</v>
      </c>
      <c r="R273" s="15">
        <f>P272</f>
        <v>8260.7302086018935</v>
      </c>
      <c r="S273" s="15">
        <f>(IF(C273&gt;=$C$9,C273,$C$9))-L272-'Edistynyt vuokratuottolaskuri'!$C$28</f>
        <v>80972.057016576902</v>
      </c>
      <c r="T273" s="15">
        <f>R273+S273</f>
        <v>89232.787225178792</v>
      </c>
      <c r="U273" s="15">
        <f>(R261+(S261*'Edistynyt vuokratuottolaskuri'!$C$42)+U261)*0.1+U261</f>
        <v>161339.33017788699</v>
      </c>
      <c r="V273" s="15">
        <f>T273+U273</f>
        <v>250572.11740306579</v>
      </c>
      <c r="W273" s="15">
        <f>W272+'Edistynyt vuokratuottolaskuri'!$I$19+Q273+N273</f>
        <v>14222.443722682379</v>
      </c>
    </row>
    <row r="274" spans="1:23" x14ac:dyDescent="0.2">
      <c r="B274" s="2">
        <v>266</v>
      </c>
      <c r="C274" s="15">
        <f>C262+('Edistynyt vuokratuottolaskuri'!$C$52*C262)</f>
        <v>95843.121200820897</v>
      </c>
      <c r="D274" s="15">
        <f t="shared" si="24"/>
        <v>-5347.1220961582958</v>
      </c>
      <c r="E274" s="15">
        <f>-PMT(('Edistynyt vuokratuottolaskuri'!$C$33/12),('Edistynyt vuokratuottolaskuri'!$C$34*12),('Edistynyt vuokratuottolaskuri'!$C$29),0,0)</f>
        <v>209.63805404269655</v>
      </c>
      <c r="F274" s="15">
        <f>E274-(D274*('Edistynyt vuokratuottolaskuri'!$C$33/12))</f>
        <v>218.54992420296037</v>
      </c>
      <c r="G274" s="15">
        <f>IF(Lyhennystapa="Annuiteetti",(D274-F274),IF(Lyhennystapa="Tasalyhennys",(D274-'Edistynyt vuokratuottolaskuri'!$C$38),IF(Lyhennystapa="Bullet",D273,"")))</f>
        <v>-5565.6720203612558</v>
      </c>
      <c r="H274" s="15">
        <f t="shared" ref="H274:H337" si="27">K273</f>
        <v>0</v>
      </c>
      <c r="I274" s="15">
        <f>-PMT(('Edistynyt vuokratuottolaskuri'!$C$18/12),('Edistynyt vuokratuottolaskuri'!$C$19*12),('Edistynyt vuokratuottolaskuri'!$C$17),0,0)</f>
        <v>110.41614461107285</v>
      </c>
      <c r="J274" s="15">
        <f>I274-(H274*('Edistynyt vuokratuottolaskuri'!$C$18/12))</f>
        <v>110.41614461107285</v>
      </c>
      <c r="K274" s="15">
        <f t="shared" si="26"/>
        <v>0</v>
      </c>
      <c r="L274" s="15">
        <f t="shared" si="25"/>
        <v>-5565.6720203612558</v>
      </c>
      <c r="M274" s="15">
        <f>'Edistynyt vuokratuottolaskuri'!$C$6-K274-G274</f>
        <v>77565.672020361249</v>
      </c>
      <c r="N274" s="15">
        <f>$N$272+(('Edistynyt vuokratuottolaskuri'!$I$7+$N$272)*'Edistynyt vuokratuottolaskuri'!$C$9*(1-'Edistynyt vuokratuottolaskuri'!$C$41))</f>
        <v>0</v>
      </c>
      <c r="O274" s="15">
        <f>-'Edistynyt vuokratuottolaskuri'!$C$10*('Edistynyt vuokratuottolaskuri'!$I$7+N274-('Edistynyt vuokratuottolaskuri'!$I$17-(N274*Veroaste)))/12</f>
        <v>0</v>
      </c>
      <c r="P274" s="15">
        <f>P273+'Edistynyt vuokratuottolaskuri'!$I$19+N274+O274</f>
        <v>8323.3114980609971</v>
      </c>
      <c r="Q274" s="15">
        <f>IF(P273&gt;0,(P273*('Edistynyt vuokratuottolaskuri'!$F$7/12)),0)</f>
        <v>44.927445979931981</v>
      </c>
      <c r="R274" s="15"/>
      <c r="S274" s="15"/>
      <c r="T274" s="15"/>
      <c r="U274" s="15"/>
      <c r="V274" s="15"/>
      <c r="W274" s="15">
        <f>W273+'Edistynyt vuokratuottolaskuri'!$I$19+Q274+N274</f>
        <v>14298.661813391864</v>
      </c>
    </row>
    <row r="275" spans="1:23" x14ac:dyDescent="0.2">
      <c r="B275" s="2">
        <v>267</v>
      </c>
      <c r="C275" s="15">
        <f>C263+('Edistynyt vuokratuottolaskuri'!$C$52*C263)</f>
        <v>95843.121200820897</v>
      </c>
      <c r="D275" s="15">
        <f t="shared" si="24"/>
        <v>-5565.6720203612558</v>
      </c>
      <c r="E275" s="15">
        <f>-PMT(('Edistynyt vuokratuottolaskuri'!$C$33/12),('Edistynyt vuokratuottolaskuri'!$C$34*12),('Edistynyt vuokratuottolaskuri'!$C$29),0,0)</f>
        <v>209.63805404269655</v>
      </c>
      <c r="F275" s="15">
        <f>E275-(D275*('Edistynyt vuokratuottolaskuri'!$C$33/12))</f>
        <v>218.91417407663198</v>
      </c>
      <c r="G275" s="15">
        <f>IF(Lyhennystapa="Annuiteetti",(D275-F275),IF(Lyhennystapa="Tasalyhennys",(D275-'Edistynyt vuokratuottolaskuri'!$C$38),IF(Lyhennystapa="Bullet",D274,"")))</f>
        <v>-5784.5861944378876</v>
      </c>
      <c r="H275" s="15">
        <f t="shared" si="27"/>
        <v>0</v>
      </c>
      <c r="I275" s="15">
        <f>-PMT(('Edistynyt vuokratuottolaskuri'!$C$18/12),('Edistynyt vuokratuottolaskuri'!$C$19*12),('Edistynyt vuokratuottolaskuri'!$C$17),0,0)</f>
        <v>110.41614461107285</v>
      </c>
      <c r="J275" s="15">
        <f>I275-(H275*('Edistynyt vuokratuottolaskuri'!$C$18/12))</f>
        <v>110.41614461107285</v>
      </c>
      <c r="K275" s="15">
        <f t="shared" si="26"/>
        <v>0</v>
      </c>
      <c r="L275" s="15">
        <f t="shared" si="25"/>
        <v>-5784.5861944378876</v>
      </c>
      <c r="M275" s="15">
        <f>'Edistynyt vuokratuottolaskuri'!$C$6-K275-G275</f>
        <v>77784.586194437885</v>
      </c>
      <c r="N275" s="15">
        <f>$N$272+(('Edistynyt vuokratuottolaskuri'!$I$7+$N$272)*'Edistynyt vuokratuottolaskuri'!$C$9*(1-'Edistynyt vuokratuottolaskuri'!$C$41))</f>
        <v>0</v>
      </c>
      <c r="O275" s="15">
        <f>-'Edistynyt vuokratuottolaskuri'!$C$10*('Edistynyt vuokratuottolaskuri'!$I$7+N275-('Edistynyt vuokratuottolaskuri'!$I$17-(N275*Veroaste)))/12</f>
        <v>0</v>
      </c>
      <c r="P275" s="15">
        <f>P274+'Edistynyt vuokratuottolaskuri'!$I$19+N275+O275</f>
        <v>8354.6021427905489</v>
      </c>
      <c r="Q275" s="15">
        <f>IF(P274&gt;0,(P274*('Edistynyt vuokratuottolaskuri'!$F$7/12)),0)</f>
        <v>45.096983511931725</v>
      </c>
      <c r="R275" s="15"/>
      <c r="S275" s="15"/>
      <c r="T275" s="15"/>
      <c r="U275" s="15"/>
      <c r="V275" s="15"/>
      <c r="W275" s="15">
        <f>W274+'Edistynyt vuokratuottolaskuri'!$I$19+Q275+N275</f>
        <v>14375.049441633348</v>
      </c>
    </row>
    <row r="276" spans="1:23" x14ac:dyDescent="0.2">
      <c r="B276" s="2">
        <v>268</v>
      </c>
      <c r="C276" s="15">
        <f>C264+('Edistynyt vuokratuottolaskuri'!$C$52*C264)</f>
        <v>95843.121200820897</v>
      </c>
      <c r="D276" s="15">
        <f t="shared" si="24"/>
        <v>-5784.5861944378876</v>
      </c>
      <c r="E276" s="15">
        <f>-PMT(('Edistynyt vuokratuottolaskuri'!$C$33/12),('Edistynyt vuokratuottolaskuri'!$C$34*12),('Edistynyt vuokratuottolaskuri'!$C$29),0,0)</f>
        <v>209.63805404269655</v>
      </c>
      <c r="F276" s="15">
        <f>E276-(D276*('Edistynyt vuokratuottolaskuri'!$C$33/12))</f>
        <v>219.27903103342638</v>
      </c>
      <c r="G276" s="15">
        <f>IF(Lyhennystapa="Annuiteetti",(D276-F276),IF(Lyhennystapa="Tasalyhennys",(D276-'Edistynyt vuokratuottolaskuri'!$C$38),IF(Lyhennystapa="Bullet",D275,"")))</f>
        <v>-6003.8652254713143</v>
      </c>
      <c r="H276" s="15">
        <f t="shared" si="27"/>
        <v>0</v>
      </c>
      <c r="I276" s="15">
        <f>-PMT(('Edistynyt vuokratuottolaskuri'!$C$18/12),('Edistynyt vuokratuottolaskuri'!$C$19*12),('Edistynyt vuokratuottolaskuri'!$C$17),0,0)</f>
        <v>110.41614461107285</v>
      </c>
      <c r="J276" s="15">
        <f>I276-(H276*('Edistynyt vuokratuottolaskuri'!$C$18/12))</f>
        <v>110.41614461107285</v>
      </c>
      <c r="K276" s="15">
        <f t="shared" si="26"/>
        <v>0</v>
      </c>
      <c r="L276" s="15">
        <f t="shared" si="25"/>
        <v>-6003.8652254713143</v>
      </c>
      <c r="M276" s="15">
        <f>'Edistynyt vuokratuottolaskuri'!$C$6-K276-G276</f>
        <v>78003.865225471309</v>
      </c>
      <c r="N276" s="15">
        <f>$N$272+(('Edistynyt vuokratuottolaskuri'!$I$7+$N$272)*'Edistynyt vuokratuottolaskuri'!$C$9*(1-'Edistynyt vuokratuottolaskuri'!$C$41))</f>
        <v>0</v>
      </c>
      <c r="O276" s="15">
        <f>-'Edistynyt vuokratuottolaskuri'!$C$10*('Edistynyt vuokratuottolaskuri'!$I$7+N276-('Edistynyt vuokratuottolaskuri'!$I$17-(N276*Veroaste)))/12</f>
        <v>0</v>
      </c>
      <c r="P276" s="15">
        <f>P275+'Edistynyt vuokratuottolaskuri'!$I$19+N276+O276</f>
        <v>8385.8927875201007</v>
      </c>
      <c r="Q276" s="15">
        <f>IF(P275&gt;0,(P275*('Edistynyt vuokratuottolaskuri'!$F$7/12)),0)</f>
        <v>45.266521043931462</v>
      </c>
      <c r="R276" s="15"/>
      <c r="S276" s="15"/>
      <c r="T276" s="15"/>
      <c r="U276" s="15"/>
      <c r="V276" s="15"/>
      <c r="W276" s="15">
        <f>W275+'Edistynyt vuokratuottolaskuri'!$I$19+Q276+N276</f>
        <v>14451.606607406831</v>
      </c>
    </row>
    <row r="277" spans="1:23" x14ac:dyDescent="0.2">
      <c r="B277" s="2">
        <v>269</v>
      </c>
      <c r="C277" s="15">
        <f>C265+('Edistynyt vuokratuottolaskuri'!$C$52*C265)</f>
        <v>95843.121200820897</v>
      </c>
      <c r="D277" s="15">
        <f t="shared" si="24"/>
        <v>-6003.8652254713143</v>
      </c>
      <c r="E277" s="15">
        <f>-PMT(('Edistynyt vuokratuottolaskuri'!$C$33/12),('Edistynyt vuokratuottolaskuri'!$C$34*12),('Edistynyt vuokratuottolaskuri'!$C$29),0,0)</f>
        <v>209.63805404269655</v>
      </c>
      <c r="F277" s="15">
        <f>E277-(D277*('Edistynyt vuokratuottolaskuri'!$C$33/12))</f>
        <v>219.64449608514875</v>
      </c>
      <c r="G277" s="15">
        <f>IF(Lyhennystapa="Annuiteetti",(D277-F277),IF(Lyhennystapa="Tasalyhennys",(D277-'Edistynyt vuokratuottolaskuri'!$C$38),IF(Lyhennystapa="Bullet",D276,"")))</f>
        <v>-6223.5097215564629</v>
      </c>
      <c r="H277" s="15">
        <f t="shared" si="27"/>
        <v>0</v>
      </c>
      <c r="I277" s="15">
        <f>-PMT(('Edistynyt vuokratuottolaskuri'!$C$18/12),('Edistynyt vuokratuottolaskuri'!$C$19*12),('Edistynyt vuokratuottolaskuri'!$C$17),0,0)</f>
        <v>110.41614461107285</v>
      </c>
      <c r="J277" s="15">
        <f>I277-(H277*('Edistynyt vuokratuottolaskuri'!$C$18/12))</f>
        <v>110.41614461107285</v>
      </c>
      <c r="K277" s="15">
        <f t="shared" si="26"/>
        <v>0</v>
      </c>
      <c r="L277" s="15">
        <f t="shared" si="25"/>
        <v>-6223.5097215564629</v>
      </c>
      <c r="M277" s="15">
        <f>'Edistynyt vuokratuottolaskuri'!$C$6-K277-G277</f>
        <v>78223.50972155646</v>
      </c>
      <c r="N277" s="15">
        <f>$N$272+(('Edistynyt vuokratuottolaskuri'!$I$7+$N$272)*'Edistynyt vuokratuottolaskuri'!$C$9*(1-'Edistynyt vuokratuottolaskuri'!$C$41))</f>
        <v>0</v>
      </c>
      <c r="O277" s="15">
        <f>-'Edistynyt vuokratuottolaskuri'!$C$10*('Edistynyt vuokratuottolaskuri'!$I$7+N277-('Edistynyt vuokratuottolaskuri'!$I$17-(N277*Veroaste)))/12</f>
        <v>0</v>
      </c>
      <c r="P277" s="15">
        <f>P276+'Edistynyt vuokratuottolaskuri'!$I$19+N277+O277</f>
        <v>8417.1834322496525</v>
      </c>
      <c r="Q277" s="15">
        <f>IF(P276&gt;0,(P276*('Edistynyt vuokratuottolaskuri'!$F$7/12)),0)</f>
        <v>45.436058575931199</v>
      </c>
      <c r="R277" s="15"/>
      <c r="S277" s="15"/>
      <c r="T277" s="15"/>
      <c r="U277" s="15"/>
      <c r="V277" s="15"/>
      <c r="W277" s="15">
        <f>W276+'Edistynyt vuokratuottolaskuri'!$I$19+Q277+N277</f>
        <v>14528.333310712314</v>
      </c>
    </row>
    <row r="278" spans="1:23" x14ac:dyDescent="0.2">
      <c r="B278" s="2">
        <v>270</v>
      </c>
      <c r="C278" s="15">
        <f>C266+('Edistynyt vuokratuottolaskuri'!$C$52*C266)</f>
        <v>95843.121200820897</v>
      </c>
      <c r="D278" s="15">
        <f t="shared" si="24"/>
        <v>-6223.5097215564629</v>
      </c>
      <c r="E278" s="15">
        <f>-PMT(('Edistynyt vuokratuottolaskuri'!$C$33/12),('Edistynyt vuokratuottolaskuri'!$C$34*12),('Edistynyt vuokratuottolaskuri'!$C$29),0,0)</f>
        <v>209.63805404269655</v>
      </c>
      <c r="F278" s="15">
        <f>E278-(D278*('Edistynyt vuokratuottolaskuri'!$C$33/12))</f>
        <v>220.01057024529067</v>
      </c>
      <c r="G278" s="15">
        <f>IF(Lyhennystapa="Annuiteetti",(D278-F278),IF(Lyhennystapa="Tasalyhennys",(D278-'Edistynyt vuokratuottolaskuri'!$C$38),IF(Lyhennystapa="Bullet",D277,"")))</f>
        <v>-6443.520291801754</v>
      </c>
      <c r="H278" s="15">
        <f t="shared" si="27"/>
        <v>0</v>
      </c>
      <c r="I278" s="15">
        <f>-PMT(('Edistynyt vuokratuottolaskuri'!$C$18/12),('Edistynyt vuokratuottolaskuri'!$C$19*12),('Edistynyt vuokratuottolaskuri'!$C$17),0,0)</f>
        <v>110.41614461107285</v>
      </c>
      <c r="J278" s="15">
        <f>I278-(H278*('Edistynyt vuokratuottolaskuri'!$C$18/12))</f>
        <v>110.41614461107285</v>
      </c>
      <c r="K278" s="15">
        <f t="shared" si="26"/>
        <v>0</v>
      </c>
      <c r="L278" s="15">
        <f t="shared" si="25"/>
        <v>-6443.520291801754</v>
      </c>
      <c r="M278" s="15">
        <f>'Edistynyt vuokratuottolaskuri'!$C$6-K278-G278</f>
        <v>78443.52029180176</v>
      </c>
      <c r="N278" s="15">
        <f>$N$272+(('Edistynyt vuokratuottolaskuri'!$I$7+$N$272)*'Edistynyt vuokratuottolaskuri'!$C$9*(1-'Edistynyt vuokratuottolaskuri'!$C$41))</f>
        <v>0</v>
      </c>
      <c r="O278" s="15">
        <f>-'Edistynyt vuokratuottolaskuri'!$C$10*('Edistynyt vuokratuottolaskuri'!$I$7+N278-('Edistynyt vuokratuottolaskuri'!$I$17-(N278*Veroaste)))/12</f>
        <v>0</v>
      </c>
      <c r="P278" s="15">
        <f>P277+'Edistynyt vuokratuottolaskuri'!$I$19+N278+O278</f>
        <v>8448.4740769792043</v>
      </c>
      <c r="Q278" s="15">
        <f>IF(P277&gt;0,(P277*('Edistynyt vuokratuottolaskuri'!$F$7/12)),0)</f>
        <v>45.605596107930936</v>
      </c>
      <c r="R278" s="15"/>
      <c r="S278" s="15"/>
      <c r="T278" s="15"/>
      <c r="U278" s="15"/>
      <c r="V278" s="15"/>
      <c r="W278" s="15">
        <f>W277+'Edistynyt vuokratuottolaskuri'!$I$19+Q278+N278</f>
        <v>14605.229551549797</v>
      </c>
    </row>
    <row r="279" spans="1:23" x14ac:dyDescent="0.2">
      <c r="B279" s="2">
        <v>271</v>
      </c>
      <c r="C279" s="15">
        <f>C267+('Edistynyt vuokratuottolaskuri'!$C$52*C267)</f>
        <v>95843.121200820897</v>
      </c>
      <c r="D279" s="15">
        <f t="shared" si="24"/>
        <v>-6443.520291801754</v>
      </c>
      <c r="E279" s="15">
        <f>-PMT(('Edistynyt vuokratuottolaskuri'!$C$33/12),('Edistynyt vuokratuottolaskuri'!$C$34*12),('Edistynyt vuokratuottolaskuri'!$C$29),0,0)</f>
        <v>209.63805404269655</v>
      </c>
      <c r="F279" s="15">
        <f>E279-(D279*('Edistynyt vuokratuottolaskuri'!$C$33/12))</f>
        <v>220.3772545290328</v>
      </c>
      <c r="G279" s="15">
        <f>IF(Lyhennystapa="Annuiteetti",(D279-F279),IF(Lyhennystapa="Tasalyhennys",(D279-'Edistynyt vuokratuottolaskuri'!$C$38),IF(Lyhennystapa="Bullet",D278,"")))</f>
        <v>-6663.897546330787</v>
      </c>
      <c r="H279" s="15">
        <f t="shared" si="27"/>
        <v>0</v>
      </c>
      <c r="I279" s="15">
        <f>-PMT(('Edistynyt vuokratuottolaskuri'!$C$18/12),('Edistynyt vuokratuottolaskuri'!$C$19*12),('Edistynyt vuokratuottolaskuri'!$C$17),0,0)</f>
        <v>110.41614461107285</v>
      </c>
      <c r="J279" s="15">
        <f>I279-(H279*('Edistynyt vuokratuottolaskuri'!$C$18/12))</f>
        <v>110.41614461107285</v>
      </c>
      <c r="K279" s="15">
        <f t="shared" si="26"/>
        <v>0</v>
      </c>
      <c r="L279" s="15">
        <f t="shared" si="25"/>
        <v>-6663.897546330787</v>
      </c>
      <c r="M279" s="15">
        <f>'Edistynyt vuokratuottolaskuri'!$C$6-K279-G279</f>
        <v>78663.897546330787</v>
      </c>
      <c r="N279" s="15">
        <f>$N$272+(('Edistynyt vuokratuottolaskuri'!$I$7+$N$272)*'Edistynyt vuokratuottolaskuri'!$C$9*(1-'Edistynyt vuokratuottolaskuri'!$C$41))</f>
        <v>0</v>
      </c>
      <c r="O279" s="15">
        <f>-'Edistynyt vuokratuottolaskuri'!$C$10*('Edistynyt vuokratuottolaskuri'!$I$7+N279-('Edistynyt vuokratuottolaskuri'!$I$17-(N279*Veroaste)))/12</f>
        <v>0</v>
      </c>
      <c r="P279" s="15">
        <f>P278+'Edistynyt vuokratuottolaskuri'!$I$19+N279+O279</f>
        <v>8479.764721708756</v>
      </c>
      <c r="Q279" s="15">
        <f>IF(P278&gt;0,(P278*('Edistynyt vuokratuottolaskuri'!$F$7/12)),0)</f>
        <v>45.775133639930679</v>
      </c>
      <c r="R279" s="15"/>
      <c r="S279" s="15"/>
      <c r="T279" s="15"/>
      <c r="U279" s="15"/>
      <c r="V279" s="15"/>
      <c r="W279" s="15">
        <f>W278+'Edistynyt vuokratuottolaskuri'!$I$19+Q279+N279</f>
        <v>14682.29532991928</v>
      </c>
    </row>
    <row r="280" spans="1:23" x14ac:dyDescent="0.2">
      <c r="B280" s="2">
        <v>272</v>
      </c>
      <c r="C280" s="15">
        <f>C268+('Edistynyt vuokratuottolaskuri'!$C$52*C268)</f>
        <v>95843.121200820897</v>
      </c>
      <c r="D280" s="15">
        <f t="shared" si="24"/>
        <v>-6663.897546330787</v>
      </c>
      <c r="E280" s="15">
        <f>-PMT(('Edistynyt vuokratuottolaskuri'!$C$33/12),('Edistynyt vuokratuottolaskuri'!$C$34*12),('Edistynyt vuokratuottolaskuri'!$C$29),0,0)</f>
        <v>209.63805404269655</v>
      </c>
      <c r="F280" s="15">
        <f>E280-(D280*('Edistynyt vuokratuottolaskuri'!$C$33/12))</f>
        <v>220.74454995324786</v>
      </c>
      <c r="G280" s="15">
        <f>IF(Lyhennystapa="Annuiteetti",(D280-F280),IF(Lyhennystapa="Tasalyhennys",(D280-'Edistynyt vuokratuottolaskuri'!$C$38),IF(Lyhennystapa="Bullet",D279,"")))</f>
        <v>-6884.6420962840348</v>
      </c>
      <c r="H280" s="15">
        <f t="shared" si="27"/>
        <v>0</v>
      </c>
      <c r="I280" s="15">
        <f>-PMT(('Edistynyt vuokratuottolaskuri'!$C$18/12),('Edistynyt vuokratuottolaskuri'!$C$19*12),('Edistynyt vuokratuottolaskuri'!$C$17),0,0)</f>
        <v>110.41614461107285</v>
      </c>
      <c r="J280" s="15">
        <f>I280-(H280*('Edistynyt vuokratuottolaskuri'!$C$18/12))</f>
        <v>110.41614461107285</v>
      </c>
      <c r="K280" s="15">
        <f t="shared" si="26"/>
        <v>0</v>
      </c>
      <c r="L280" s="15">
        <f t="shared" si="25"/>
        <v>-6884.6420962840348</v>
      </c>
      <c r="M280" s="15">
        <f>'Edistynyt vuokratuottolaskuri'!$C$6-K280-G280</f>
        <v>78884.642096284035</v>
      </c>
      <c r="N280" s="15">
        <f>$N$272+(('Edistynyt vuokratuottolaskuri'!$I$7+$N$272)*'Edistynyt vuokratuottolaskuri'!$C$9*(1-'Edistynyt vuokratuottolaskuri'!$C$41))</f>
        <v>0</v>
      </c>
      <c r="O280" s="15">
        <f>-'Edistynyt vuokratuottolaskuri'!$C$10*('Edistynyt vuokratuottolaskuri'!$I$7+N280-('Edistynyt vuokratuottolaskuri'!$I$17-(N280*Veroaste)))/12</f>
        <v>0</v>
      </c>
      <c r="P280" s="15">
        <f>P279+'Edistynyt vuokratuottolaskuri'!$I$19+N280+O280</f>
        <v>8511.0553664383078</v>
      </c>
      <c r="Q280" s="15">
        <f>IF(P279&gt;0,(P279*('Edistynyt vuokratuottolaskuri'!$F$7/12)),0)</f>
        <v>45.944671171930416</v>
      </c>
      <c r="R280" s="15"/>
      <c r="S280" s="15"/>
      <c r="T280" s="15"/>
      <c r="U280" s="15"/>
      <c r="V280" s="15"/>
      <c r="W280" s="15">
        <f>W279+'Edistynyt vuokratuottolaskuri'!$I$19+Q280+N280</f>
        <v>14759.530645820761</v>
      </c>
    </row>
    <row r="281" spans="1:23" x14ac:dyDescent="0.2">
      <c r="B281" s="2">
        <v>273</v>
      </c>
      <c r="C281" s="15">
        <f>C269+('Edistynyt vuokratuottolaskuri'!$C$52*C269)</f>
        <v>95843.121200820897</v>
      </c>
      <c r="D281" s="15">
        <f t="shared" si="24"/>
        <v>-6884.6420962840348</v>
      </c>
      <c r="E281" s="15">
        <f>-PMT(('Edistynyt vuokratuottolaskuri'!$C$33/12),('Edistynyt vuokratuottolaskuri'!$C$34*12),('Edistynyt vuokratuottolaskuri'!$C$29),0,0)</f>
        <v>209.63805404269655</v>
      </c>
      <c r="F281" s="15">
        <f>E281-(D281*('Edistynyt vuokratuottolaskuri'!$C$33/12))</f>
        <v>221.11245753650329</v>
      </c>
      <c r="G281" s="15">
        <f>IF(Lyhennystapa="Annuiteetti",(D281-F281),IF(Lyhennystapa="Tasalyhennys",(D281-'Edistynyt vuokratuottolaskuri'!$C$38),IF(Lyhennystapa="Bullet",D280,"")))</f>
        <v>-7105.7545538205377</v>
      </c>
      <c r="H281" s="15">
        <f t="shared" si="27"/>
        <v>0</v>
      </c>
      <c r="I281" s="15">
        <f>-PMT(('Edistynyt vuokratuottolaskuri'!$C$18/12),('Edistynyt vuokratuottolaskuri'!$C$19*12),('Edistynyt vuokratuottolaskuri'!$C$17),0,0)</f>
        <v>110.41614461107285</v>
      </c>
      <c r="J281" s="15">
        <f>I281-(H281*('Edistynyt vuokratuottolaskuri'!$C$18/12))</f>
        <v>110.41614461107285</v>
      </c>
      <c r="K281" s="15">
        <f t="shared" si="26"/>
        <v>0</v>
      </c>
      <c r="L281" s="15">
        <f t="shared" si="25"/>
        <v>-7105.7545538205377</v>
      </c>
      <c r="M281" s="15">
        <f>'Edistynyt vuokratuottolaskuri'!$C$6-K281-G281</f>
        <v>79105.75455382053</v>
      </c>
      <c r="N281" s="15">
        <f>$N$272+(('Edistynyt vuokratuottolaskuri'!$I$7+$N$272)*'Edistynyt vuokratuottolaskuri'!$C$9*(1-'Edistynyt vuokratuottolaskuri'!$C$41))</f>
        <v>0</v>
      </c>
      <c r="O281" s="15">
        <f>-'Edistynyt vuokratuottolaskuri'!$C$10*('Edistynyt vuokratuottolaskuri'!$I$7+N281-('Edistynyt vuokratuottolaskuri'!$I$17-(N281*Veroaste)))/12</f>
        <v>0</v>
      </c>
      <c r="P281" s="15">
        <f>P280+'Edistynyt vuokratuottolaskuri'!$I$19+N281+O281</f>
        <v>8542.3460111678596</v>
      </c>
      <c r="Q281" s="15">
        <f>IF(P280&gt;0,(P280*('Edistynyt vuokratuottolaskuri'!$F$7/12)),0)</f>
        <v>46.114208703930153</v>
      </c>
      <c r="R281" s="15"/>
      <c r="S281" s="15"/>
      <c r="T281" s="15"/>
      <c r="U281" s="15"/>
      <c r="V281" s="15"/>
      <c r="W281" s="15">
        <f>W280+'Edistynyt vuokratuottolaskuri'!$I$19+Q281+N281</f>
        <v>14836.935499254243</v>
      </c>
    </row>
    <row r="282" spans="1:23" x14ac:dyDescent="0.2">
      <c r="B282" s="2">
        <v>274</v>
      </c>
      <c r="C282" s="15">
        <f>C270+('Edistynyt vuokratuottolaskuri'!$C$52*C270)</f>
        <v>95843.121200820897</v>
      </c>
      <c r="D282" s="15">
        <f t="shared" si="24"/>
        <v>-7105.7545538205377</v>
      </c>
      <c r="E282" s="15">
        <f>-PMT(('Edistynyt vuokratuottolaskuri'!$C$33/12),('Edistynyt vuokratuottolaskuri'!$C$34*12),('Edistynyt vuokratuottolaskuri'!$C$29),0,0)</f>
        <v>209.63805404269655</v>
      </c>
      <c r="F282" s="15">
        <f>E282-(D282*('Edistynyt vuokratuottolaskuri'!$C$33/12))</f>
        <v>221.48097829906411</v>
      </c>
      <c r="G282" s="15">
        <f>IF(Lyhennystapa="Annuiteetti",(D282-F282),IF(Lyhennystapa="Tasalyhennys",(D282-'Edistynyt vuokratuottolaskuri'!$C$38),IF(Lyhennystapa="Bullet",D281,"")))</f>
        <v>-7327.2355321196019</v>
      </c>
      <c r="H282" s="15">
        <f t="shared" si="27"/>
        <v>0</v>
      </c>
      <c r="I282" s="15">
        <f>-PMT(('Edistynyt vuokratuottolaskuri'!$C$18/12),('Edistynyt vuokratuottolaskuri'!$C$19*12),('Edistynyt vuokratuottolaskuri'!$C$17),0,0)</f>
        <v>110.41614461107285</v>
      </c>
      <c r="J282" s="15">
        <f>I282-(H282*('Edistynyt vuokratuottolaskuri'!$C$18/12))</f>
        <v>110.41614461107285</v>
      </c>
      <c r="K282" s="15">
        <f t="shared" si="26"/>
        <v>0</v>
      </c>
      <c r="L282" s="15">
        <f t="shared" si="25"/>
        <v>-7327.2355321196019</v>
      </c>
      <c r="M282" s="15">
        <f>'Edistynyt vuokratuottolaskuri'!$C$6-K282-G282</f>
        <v>79327.235532119608</v>
      </c>
      <c r="N282" s="15">
        <f>$N$272+(('Edistynyt vuokratuottolaskuri'!$I$7+$N$272)*'Edistynyt vuokratuottolaskuri'!$C$9*(1-'Edistynyt vuokratuottolaskuri'!$C$41))</f>
        <v>0</v>
      </c>
      <c r="O282" s="15">
        <f>-'Edistynyt vuokratuottolaskuri'!$C$10*('Edistynyt vuokratuottolaskuri'!$I$7+N282-('Edistynyt vuokratuottolaskuri'!$I$17-(N282*Veroaste)))/12</f>
        <v>0</v>
      </c>
      <c r="P282" s="15">
        <f>P281+'Edistynyt vuokratuottolaskuri'!$I$19+N282+O282</f>
        <v>8573.6366558974114</v>
      </c>
      <c r="Q282" s="15">
        <f>IF(P281&gt;0,(P281*('Edistynyt vuokratuottolaskuri'!$F$7/12)),0)</f>
        <v>46.283746235929897</v>
      </c>
      <c r="R282" s="15"/>
      <c r="S282" s="15"/>
      <c r="T282" s="15"/>
      <c r="U282" s="15"/>
      <c r="V282" s="15"/>
      <c r="W282" s="15">
        <f>W281+'Edistynyt vuokratuottolaskuri'!$I$19+Q282+N282</f>
        <v>14914.509890219724</v>
      </c>
    </row>
    <row r="283" spans="1:23" x14ac:dyDescent="0.2">
      <c r="B283" s="2">
        <v>275</v>
      </c>
      <c r="C283" s="15">
        <f>C271+('Edistynyt vuokratuottolaskuri'!$C$52*C271)</f>
        <v>95843.121200820897</v>
      </c>
      <c r="D283" s="15">
        <f t="shared" si="24"/>
        <v>-7327.2355321196019</v>
      </c>
      <c r="E283" s="15">
        <f>-PMT(('Edistynyt vuokratuottolaskuri'!$C$33/12),('Edistynyt vuokratuottolaskuri'!$C$34*12),('Edistynyt vuokratuottolaskuri'!$C$29),0,0)</f>
        <v>209.63805404269655</v>
      </c>
      <c r="F283" s="15">
        <f>E283-(D283*('Edistynyt vuokratuottolaskuri'!$C$33/12))</f>
        <v>221.85011326289589</v>
      </c>
      <c r="G283" s="15">
        <f>IF(Lyhennystapa="Annuiteetti",(D283-F283),IF(Lyhennystapa="Tasalyhennys",(D283-'Edistynyt vuokratuottolaskuri'!$C$38),IF(Lyhennystapa="Bullet",D282,"")))</f>
        <v>-7549.0856453824981</v>
      </c>
      <c r="H283" s="15">
        <f t="shared" si="27"/>
        <v>0</v>
      </c>
      <c r="I283" s="15">
        <f>-PMT(('Edistynyt vuokratuottolaskuri'!$C$18/12),('Edistynyt vuokratuottolaskuri'!$C$19*12),('Edistynyt vuokratuottolaskuri'!$C$17),0,0)</f>
        <v>110.41614461107285</v>
      </c>
      <c r="J283" s="15">
        <f>I283-(H283*('Edistynyt vuokratuottolaskuri'!$C$18/12))</f>
        <v>110.41614461107285</v>
      </c>
      <c r="K283" s="15">
        <f t="shared" si="26"/>
        <v>0</v>
      </c>
      <c r="L283" s="15">
        <f t="shared" si="25"/>
        <v>-7549.0856453824981</v>
      </c>
      <c r="M283" s="15">
        <f>'Edistynyt vuokratuottolaskuri'!$C$6-K283-G283</f>
        <v>79549.085645382496</v>
      </c>
      <c r="N283" s="15">
        <f>$N$272+(('Edistynyt vuokratuottolaskuri'!$I$7+$N$272)*'Edistynyt vuokratuottolaskuri'!$C$9*(1-'Edistynyt vuokratuottolaskuri'!$C$41))</f>
        <v>0</v>
      </c>
      <c r="O283" s="15">
        <f>-'Edistynyt vuokratuottolaskuri'!$C$10*('Edistynyt vuokratuottolaskuri'!$I$7+N283-('Edistynyt vuokratuottolaskuri'!$I$17-(N283*Veroaste)))/12</f>
        <v>0</v>
      </c>
      <c r="P283" s="15">
        <f>P282+'Edistynyt vuokratuottolaskuri'!$I$19+N283+O283</f>
        <v>8604.9273006269632</v>
      </c>
      <c r="Q283" s="15">
        <f>IF(P282&gt;0,(P282*('Edistynyt vuokratuottolaskuri'!$F$7/12)),0)</f>
        <v>46.453283767929634</v>
      </c>
      <c r="R283" s="15"/>
      <c r="S283" s="15"/>
      <c r="T283" s="15"/>
      <c r="U283" s="15"/>
      <c r="V283" s="15"/>
      <c r="W283" s="15">
        <f>W282+'Edistynyt vuokratuottolaskuri'!$I$19+Q283+N283</f>
        <v>14992.253818717205</v>
      </c>
    </row>
    <row r="284" spans="1:23" x14ac:dyDescent="0.2">
      <c r="B284" s="2">
        <v>276</v>
      </c>
      <c r="C284" s="15">
        <f>C272+('Edistynyt vuokratuottolaskuri'!$C$52*C272)</f>
        <v>95843.121200820897</v>
      </c>
      <c r="D284" s="15">
        <f t="shared" si="24"/>
        <v>-7549.0856453824981</v>
      </c>
      <c r="E284" s="15">
        <f>-PMT(('Edistynyt vuokratuottolaskuri'!$C$33/12),('Edistynyt vuokratuottolaskuri'!$C$34*12),('Edistynyt vuokratuottolaskuri'!$C$29),0,0)</f>
        <v>209.63805404269655</v>
      </c>
      <c r="F284" s="15">
        <f>E284-(D284*('Edistynyt vuokratuottolaskuri'!$C$33/12))</f>
        <v>222.21986345166738</v>
      </c>
      <c r="G284" s="15">
        <f>IF(Lyhennystapa="Annuiteetti",(D284-F284),IF(Lyhennystapa="Tasalyhennys",(D284-'Edistynyt vuokratuottolaskuri'!$C$38),IF(Lyhennystapa="Bullet",D283,"")))</f>
        <v>-7771.3055088341653</v>
      </c>
      <c r="H284" s="15">
        <f t="shared" si="27"/>
        <v>0</v>
      </c>
      <c r="I284" s="15">
        <f>-PMT(('Edistynyt vuokratuottolaskuri'!$C$18/12),('Edistynyt vuokratuottolaskuri'!$C$19*12),('Edistynyt vuokratuottolaskuri'!$C$17),0,0)</f>
        <v>110.41614461107285</v>
      </c>
      <c r="J284" s="15">
        <f>I284-(H284*('Edistynyt vuokratuottolaskuri'!$C$18/12))</f>
        <v>110.41614461107285</v>
      </c>
      <c r="K284" s="15">
        <f t="shared" si="26"/>
        <v>0</v>
      </c>
      <c r="L284" s="15">
        <f t="shared" si="25"/>
        <v>-7771.3055088341653</v>
      </c>
      <c r="M284" s="15">
        <f>'Edistynyt vuokratuottolaskuri'!$C$6-K284-G284</f>
        <v>79771.305508834164</v>
      </c>
      <c r="N284" s="15">
        <f>$N$272+(('Edistynyt vuokratuottolaskuri'!$I$7+$N$272)*'Edistynyt vuokratuottolaskuri'!$C$9*(1-'Edistynyt vuokratuottolaskuri'!$C$41))</f>
        <v>0</v>
      </c>
      <c r="O284" s="15">
        <f>-'Edistynyt vuokratuottolaskuri'!$C$10*('Edistynyt vuokratuottolaskuri'!$I$7+N284-('Edistynyt vuokratuottolaskuri'!$I$17-(N284*Veroaste)))/12</f>
        <v>0</v>
      </c>
      <c r="P284" s="15">
        <f>P283+'Edistynyt vuokratuottolaskuri'!$I$19+N284+O284</f>
        <v>8636.217945356515</v>
      </c>
      <c r="Q284" s="15">
        <f>IF(P283&gt;0,(P283*('Edistynyt vuokratuottolaskuri'!$F$7/12)),0)</f>
        <v>46.62282129992937</v>
      </c>
      <c r="R284" s="15"/>
      <c r="S284" s="15"/>
      <c r="T284" s="15"/>
      <c r="U284" s="15"/>
      <c r="V284" s="15"/>
      <c r="W284" s="15">
        <f>W283+'Edistynyt vuokratuottolaskuri'!$I$19+Q284+N284</f>
        <v>15070.167284746685</v>
      </c>
    </row>
    <row r="285" spans="1:23" x14ac:dyDescent="0.2">
      <c r="A285" s="2" t="s">
        <v>58</v>
      </c>
      <c r="B285" s="2">
        <v>277</v>
      </c>
      <c r="C285" s="15">
        <f>C273+('Edistynyt vuokratuottolaskuri'!$C$52*C273)</f>
        <v>96801.5524128291</v>
      </c>
      <c r="D285" s="15">
        <f t="shared" si="24"/>
        <v>-7771.3055088341653</v>
      </c>
      <c r="E285" s="15">
        <f>-PMT(('Edistynyt vuokratuottolaskuri'!$C$33/12),('Edistynyt vuokratuottolaskuri'!$C$34*12),('Edistynyt vuokratuottolaskuri'!$C$29),0,0)</f>
        <v>209.63805404269655</v>
      </c>
      <c r="F285" s="15">
        <f>E285-(D285*('Edistynyt vuokratuottolaskuri'!$C$33/12))</f>
        <v>222.59022989075351</v>
      </c>
      <c r="G285" s="15">
        <f>IF(Lyhennystapa="Annuiteetti",(D285-F285),IF(Lyhennystapa="Tasalyhennys",(D285-'Edistynyt vuokratuottolaskuri'!$C$38),IF(Lyhennystapa="Bullet",D284,"")))</f>
        <v>-7993.8957387249184</v>
      </c>
      <c r="H285" s="15">
        <f t="shared" si="27"/>
        <v>0</v>
      </c>
      <c r="I285" s="15">
        <f>-PMT(('Edistynyt vuokratuottolaskuri'!$C$18/12),('Edistynyt vuokratuottolaskuri'!$C$19*12),('Edistynyt vuokratuottolaskuri'!$C$17),0,0)</f>
        <v>110.41614461107285</v>
      </c>
      <c r="J285" s="15">
        <f>I285-(H285*('Edistynyt vuokratuottolaskuri'!$C$18/12))</f>
        <v>110.41614461107285</v>
      </c>
      <c r="K285" s="15">
        <f t="shared" si="26"/>
        <v>0</v>
      </c>
      <c r="L285" s="15">
        <f t="shared" si="25"/>
        <v>-7993.8957387249184</v>
      </c>
      <c r="M285" s="15">
        <f>'Edistynyt vuokratuottolaskuri'!$C$6-K285-G285</f>
        <v>79993.895738724925</v>
      </c>
      <c r="N285" s="15">
        <f>$N$284+(('Edistynyt vuokratuottolaskuri'!$I$7+$N$284)*'Edistynyt vuokratuottolaskuri'!$C$9*(1-'Edistynyt vuokratuottolaskuri'!$C$41))</f>
        <v>0</v>
      </c>
      <c r="O285" s="15">
        <f>-'Edistynyt vuokratuottolaskuri'!$C$10*('Edistynyt vuokratuottolaskuri'!$I$7+N285-('Edistynyt vuokratuottolaskuri'!$I$17-(N285*Veroaste)))/12</f>
        <v>0</v>
      </c>
      <c r="P285" s="15">
        <f>P284+'Edistynyt vuokratuottolaskuri'!$I$19+N285+O285</f>
        <v>8667.5085900860668</v>
      </c>
      <c r="Q285" s="15">
        <f>IF(P284&gt;0,(P284*('Edistynyt vuokratuottolaskuri'!$F$7/12)),0)</f>
        <v>46.792358831929107</v>
      </c>
      <c r="R285" s="15">
        <f>P284</f>
        <v>8636.217945356515</v>
      </c>
      <c r="S285" s="15">
        <f>(IF(C285&gt;=$C$9,C285,$C$9))-L284-'Edistynyt vuokratuottolaskuri'!$C$28</f>
        <v>84572.857921663264</v>
      </c>
      <c r="T285" s="15">
        <f>R285+S285</f>
        <v>93209.075867019783</v>
      </c>
      <c r="U285" s="15">
        <f>(R273+(S273*'Edistynyt vuokratuottolaskuri'!$C$42)+U273)*0.1+U273</f>
        <v>183967.38020769626</v>
      </c>
      <c r="V285" s="15">
        <f>T285+U285</f>
        <v>277176.45607471606</v>
      </c>
      <c r="W285" s="15">
        <f>W284+'Edistynyt vuokratuottolaskuri'!$I$19+Q285+N285</f>
        <v>15148.250288308167</v>
      </c>
    </row>
    <row r="286" spans="1:23" x14ac:dyDescent="0.2">
      <c r="B286" s="2">
        <v>278</v>
      </c>
      <c r="C286" s="15">
        <f>C274+('Edistynyt vuokratuottolaskuri'!$C$52*C274)</f>
        <v>96801.5524128291</v>
      </c>
      <c r="D286" s="15">
        <f t="shared" si="24"/>
        <v>-7993.8957387249184</v>
      </c>
      <c r="E286" s="15">
        <f>-PMT(('Edistynyt vuokratuottolaskuri'!$C$33/12),('Edistynyt vuokratuottolaskuri'!$C$34*12),('Edistynyt vuokratuottolaskuri'!$C$29),0,0)</f>
        <v>209.63805404269655</v>
      </c>
      <c r="F286" s="15">
        <f>E286-(D286*('Edistynyt vuokratuottolaskuri'!$C$33/12))</f>
        <v>222.96121360723808</v>
      </c>
      <c r="G286" s="15">
        <f>IF(Lyhennystapa="Annuiteetti",(D286-F286),IF(Lyhennystapa="Tasalyhennys",(D286-'Edistynyt vuokratuottolaskuri'!$C$38),IF(Lyhennystapa="Bullet",D285,"")))</f>
        <v>-8216.8569523321567</v>
      </c>
      <c r="H286" s="15">
        <f t="shared" si="27"/>
        <v>0</v>
      </c>
      <c r="I286" s="15">
        <f>-PMT(('Edistynyt vuokratuottolaskuri'!$C$18/12),('Edistynyt vuokratuottolaskuri'!$C$19*12),('Edistynyt vuokratuottolaskuri'!$C$17),0,0)</f>
        <v>110.41614461107285</v>
      </c>
      <c r="J286" s="15">
        <f>I286-(H286*('Edistynyt vuokratuottolaskuri'!$C$18/12))</f>
        <v>110.41614461107285</v>
      </c>
      <c r="K286" s="15">
        <f t="shared" si="26"/>
        <v>0</v>
      </c>
      <c r="L286" s="15">
        <f t="shared" si="25"/>
        <v>-8216.8569523321567</v>
      </c>
      <c r="M286" s="15">
        <f>'Edistynyt vuokratuottolaskuri'!$C$6-K286-G286</f>
        <v>80216.856952332164</v>
      </c>
      <c r="N286" s="15">
        <f>$N$284+(('Edistynyt vuokratuottolaskuri'!$I$7+$N$284)*'Edistynyt vuokratuottolaskuri'!$C$9*(1-'Edistynyt vuokratuottolaskuri'!$C$41))</f>
        <v>0</v>
      </c>
      <c r="O286" s="15">
        <f>-'Edistynyt vuokratuottolaskuri'!$C$10*('Edistynyt vuokratuottolaskuri'!$I$7+N286-('Edistynyt vuokratuottolaskuri'!$I$17-(N286*Veroaste)))/12</f>
        <v>0</v>
      </c>
      <c r="P286" s="15">
        <f>P285+'Edistynyt vuokratuottolaskuri'!$I$19+N286+O286</f>
        <v>8698.7992348156185</v>
      </c>
      <c r="Q286" s="15">
        <f>IF(P285&gt;0,(P285*('Edistynyt vuokratuottolaskuri'!$F$7/12)),0)</f>
        <v>46.961896363928851</v>
      </c>
      <c r="R286" s="15"/>
      <c r="S286" s="15"/>
      <c r="T286" s="15"/>
      <c r="U286" s="15"/>
      <c r="V286" s="15"/>
      <c r="W286" s="15">
        <f>W285+'Edistynyt vuokratuottolaskuri'!$I$19+Q286+N286</f>
        <v>15226.502829401648</v>
      </c>
    </row>
    <row r="287" spans="1:23" x14ac:dyDescent="0.2">
      <c r="B287" s="2">
        <v>279</v>
      </c>
      <c r="C287" s="15">
        <f>C275+('Edistynyt vuokratuottolaskuri'!$C$52*C275)</f>
        <v>96801.5524128291</v>
      </c>
      <c r="D287" s="15">
        <f t="shared" si="24"/>
        <v>-8216.8569523321567</v>
      </c>
      <c r="E287" s="15">
        <f>-PMT(('Edistynyt vuokratuottolaskuri'!$C$33/12),('Edistynyt vuokratuottolaskuri'!$C$34*12),('Edistynyt vuokratuottolaskuri'!$C$29),0,0)</f>
        <v>209.63805404269655</v>
      </c>
      <c r="F287" s="15">
        <f>E287-(D287*('Edistynyt vuokratuottolaskuri'!$C$33/12))</f>
        <v>223.33281562991681</v>
      </c>
      <c r="G287" s="15">
        <f>IF(Lyhennystapa="Annuiteetti",(D287-F287),IF(Lyhennystapa="Tasalyhennys",(D287-'Edistynyt vuokratuottolaskuri'!$C$38),IF(Lyhennystapa="Bullet",D286,"")))</f>
        <v>-8440.1897679620743</v>
      </c>
      <c r="H287" s="15">
        <f t="shared" si="27"/>
        <v>0</v>
      </c>
      <c r="I287" s="15">
        <f>-PMT(('Edistynyt vuokratuottolaskuri'!$C$18/12),('Edistynyt vuokratuottolaskuri'!$C$19*12),('Edistynyt vuokratuottolaskuri'!$C$17),0,0)</f>
        <v>110.41614461107285</v>
      </c>
      <c r="J287" s="15">
        <f>I287-(H287*('Edistynyt vuokratuottolaskuri'!$C$18/12))</f>
        <v>110.41614461107285</v>
      </c>
      <c r="K287" s="15">
        <f t="shared" si="26"/>
        <v>0</v>
      </c>
      <c r="L287" s="15">
        <f t="shared" si="25"/>
        <v>-8440.1897679620743</v>
      </c>
      <c r="M287" s="15">
        <f>'Edistynyt vuokratuottolaskuri'!$C$6-K287-G287</f>
        <v>80440.189767962074</v>
      </c>
      <c r="N287" s="15">
        <f>$N$284+(('Edistynyt vuokratuottolaskuri'!$I$7+$N$284)*'Edistynyt vuokratuottolaskuri'!$C$9*(1-'Edistynyt vuokratuottolaskuri'!$C$41))</f>
        <v>0</v>
      </c>
      <c r="O287" s="15">
        <f>-'Edistynyt vuokratuottolaskuri'!$C$10*('Edistynyt vuokratuottolaskuri'!$I$7+N287-('Edistynyt vuokratuottolaskuri'!$I$17-(N287*Veroaste)))/12</f>
        <v>0</v>
      </c>
      <c r="P287" s="15">
        <f>P286+'Edistynyt vuokratuottolaskuri'!$I$19+N287+O287</f>
        <v>8730.0898795451703</v>
      </c>
      <c r="Q287" s="15">
        <f>IF(P286&gt;0,(P286*('Edistynyt vuokratuottolaskuri'!$F$7/12)),0)</f>
        <v>47.131433895928588</v>
      </c>
      <c r="R287" s="15"/>
      <c r="S287" s="15"/>
      <c r="T287" s="15"/>
      <c r="U287" s="15"/>
      <c r="V287" s="15"/>
      <c r="W287" s="15">
        <f>W286+'Edistynyt vuokratuottolaskuri'!$I$19+Q287+N287</f>
        <v>15304.924908027129</v>
      </c>
    </row>
    <row r="288" spans="1:23" x14ac:dyDescent="0.2">
      <c r="B288" s="2">
        <v>280</v>
      </c>
      <c r="C288" s="15">
        <f>C276+('Edistynyt vuokratuottolaskuri'!$C$52*C276)</f>
        <v>96801.5524128291</v>
      </c>
      <c r="D288" s="15">
        <f t="shared" si="24"/>
        <v>-8440.1897679620743</v>
      </c>
      <c r="E288" s="15">
        <f>-PMT(('Edistynyt vuokratuottolaskuri'!$C$33/12),('Edistynyt vuokratuottolaskuri'!$C$34*12),('Edistynyt vuokratuottolaskuri'!$C$29),0,0)</f>
        <v>209.63805404269655</v>
      </c>
      <c r="F288" s="15">
        <f>E288-(D288*('Edistynyt vuokratuottolaskuri'!$C$33/12))</f>
        <v>223.7050369893</v>
      </c>
      <c r="G288" s="15">
        <f>IF(Lyhennystapa="Annuiteetti",(D288-F288),IF(Lyhennystapa="Tasalyhennys",(D288-'Edistynyt vuokratuottolaskuri'!$C$38),IF(Lyhennystapa="Bullet",D287,"")))</f>
        <v>-8663.8948049513747</v>
      </c>
      <c r="H288" s="15">
        <f t="shared" si="27"/>
        <v>0</v>
      </c>
      <c r="I288" s="15">
        <f>-PMT(('Edistynyt vuokratuottolaskuri'!$C$18/12),('Edistynyt vuokratuottolaskuri'!$C$19*12),('Edistynyt vuokratuottolaskuri'!$C$17),0,0)</f>
        <v>110.41614461107285</v>
      </c>
      <c r="J288" s="15">
        <f>I288-(H288*('Edistynyt vuokratuottolaskuri'!$C$18/12))</f>
        <v>110.41614461107285</v>
      </c>
      <c r="K288" s="15">
        <f t="shared" si="26"/>
        <v>0</v>
      </c>
      <c r="L288" s="15">
        <f t="shared" si="25"/>
        <v>-8663.8948049513747</v>
      </c>
      <c r="M288" s="15">
        <f>'Edistynyt vuokratuottolaskuri'!$C$6-K288-G288</f>
        <v>80663.894804951371</v>
      </c>
      <c r="N288" s="15">
        <f>$N$284+(('Edistynyt vuokratuottolaskuri'!$I$7+$N$284)*'Edistynyt vuokratuottolaskuri'!$C$9*(1-'Edistynyt vuokratuottolaskuri'!$C$41))</f>
        <v>0</v>
      </c>
      <c r="O288" s="15">
        <f>-'Edistynyt vuokratuottolaskuri'!$C$10*('Edistynyt vuokratuottolaskuri'!$I$7+N288-('Edistynyt vuokratuottolaskuri'!$I$17-(N288*Veroaste)))/12</f>
        <v>0</v>
      </c>
      <c r="P288" s="15">
        <f>P287+'Edistynyt vuokratuottolaskuri'!$I$19+N288+O288</f>
        <v>8761.3805242747221</v>
      </c>
      <c r="Q288" s="15">
        <f>IF(P287&gt;0,(P287*('Edistynyt vuokratuottolaskuri'!$F$7/12)),0)</f>
        <v>47.300971427928324</v>
      </c>
      <c r="R288" s="15"/>
      <c r="S288" s="15"/>
      <c r="T288" s="15"/>
      <c r="U288" s="15"/>
      <c r="V288" s="15"/>
      <c r="W288" s="15">
        <f>W287+'Edistynyt vuokratuottolaskuri'!$I$19+Q288+N288</f>
        <v>15383.51652418461</v>
      </c>
    </row>
    <row r="289" spans="1:23" x14ac:dyDescent="0.2">
      <c r="B289" s="2">
        <v>281</v>
      </c>
      <c r="C289" s="15">
        <f>C277+('Edistynyt vuokratuottolaskuri'!$C$52*C277)</f>
        <v>96801.5524128291</v>
      </c>
      <c r="D289" s="15">
        <f t="shared" si="24"/>
        <v>-8663.8948049513747</v>
      </c>
      <c r="E289" s="15">
        <f>-PMT(('Edistynyt vuokratuottolaskuri'!$C$33/12),('Edistynyt vuokratuottolaskuri'!$C$34*12),('Edistynyt vuokratuottolaskuri'!$C$29),0,0)</f>
        <v>209.63805404269655</v>
      </c>
      <c r="F289" s="15">
        <f>E289-(D289*('Edistynyt vuokratuottolaskuri'!$C$33/12))</f>
        <v>224.0778787176155</v>
      </c>
      <c r="G289" s="15">
        <f>IF(Lyhennystapa="Annuiteetti",(D289-F289),IF(Lyhennystapa="Tasalyhennys",(D289-'Edistynyt vuokratuottolaskuri'!$C$38),IF(Lyhennystapa="Bullet",D288,"")))</f>
        <v>-8887.9726836689897</v>
      </c>
      <c r="H289" s="15">
        <f t="shared" si="27"/>
        <v>0</v>
      </c>
      <c r="I289" s="15">
        <f>-PMT(('Edistynyt vuokratuottolaskuri'!$C$18/12),('Edistynyt vuokratuottolaskuri'!$C$19*12),('Edistynyt vuokratuottolaskuri'!$C$17),0,0)</f>
        <v>110.41614461107285</v>
      </c>
      <c r="J289" s="15">
        <f>I289-(H289*('Edistynyt vuokratuottolaskuri'!$C$18/12))</f>
        <v>110.41614461107285</v>
      </c>
      <c r="K289" s="15">
        <f t="shared" si="26"/>
        <v>0</v>
      </c>
      <c r="L289" s="15">
        <f t="shared" si="25"/>
        <v>-8887.9726836689897</v>
      </c>
      <c r="M289" s="15">
        <f>'Edistynyt vuokratuottolaskuri'!$C$6-K289-G289</f>
        <v>80887.972683668995</v>
      </c>
      <c r="N289" s="15">
        <f>$N$284+(('Edistynyt vuokratuottolaskuri'!$I$7+$N$284)*'Edistynyt vuokratuottolaskuri'!$C$9*(1-'Edistynyt vuokratuottolaskuri'!$C$41))</f>
        <v>0</v>
      </c>
      <c r="O289" s="15">
        <f>-'Edistynyt vuokratuottolaskuri'!$C$10*('Edistynyt vuokratuottolaskuri'!$I$7+N289-('Edistynyt vuokratuottolaskuri'!$I$17-(N289*Veroaste)))/12</f>
        <v>0</v>
      </c>
      <c r="P289" s="15">
        <f>P288+'Edistynyt vuokratuottolaskuri'!$I$19+N289+O289</f>
        <v>8792.6711690042739</v>
      </c>
      <c r="Q289" s="15">
        <f>IF(P288&gt;0,(P288*('Edistynyt vuokratuottolaskuri'!$F$7/12)),0)</f>
        <v>47.470508959928068</v>
      </c>
      <c r="R289" s="15"/>
      <c r="S289" s="15"/>
      <c r="T289" s="15"/>
      <c r="U289" s="15"/>
      <c r="V289" s="15"/>
      <c r="W289" s="15">
        <f>W288+'Edistynyt vuokratuottolaskuri'!$I$19+Q289+N289</f>
        <v>15462.27767787409</v>
      </c>
    </row>
    <row r="290" spans="1:23" x14ac:dyDescent="0.2">
      <c r="B290" s="2">
        <v>282</v>
      </c>
      <c r="C290" s="15">
        <f>C278+('Edistynyt vuokratuottolaskuri'!$C$52*C278)</f>
        <v>96801.5524128291</v>
      </c>
      <c r="D290" s="15">
        <f t="shared" si="24"/>
        <v>-8887.9726836689897</v>
      </c>
      <c r="E290" s="15">
        <f>-PMT(('Edistynyt vuokratuottolaskuri'!$C$33/12),('Edistynyt vuokratuottolaskuri'!$C$34*12),('Edistynyt vuokratuottolaskuri'!$C$29),0,0)</f>
        <v>209.63805404269655</v>
      </c>
      <c r="F290" s="15">
        <f>E290-(D290*('Edistynyt vuokratuottolaskuri'!$C$33/12))</f>
        <v>224.45134184881152</v>
      </c>
      <c r="G290" s="15">
        <f>IF(Lyhennystapa="Annuiteetti",(D290-F290),IF(Lyhennystapa="Tasalyhennys",(D290-'Edistynyt vuokratuottolaskuri'!$C$38),IF(Lyhennystapa="Bullet",D289,"")))</f>
        <v>-9112.4240255178011</v>
      </c>
      <c r="H290" s="15">
        <f t="shared" si="27"/>
        <v>0</v>
      </c>
      <c r="I290" s="15">
        <f>-PMT(('Edistynyt vuokratuottolaskuri'!$C$18/12),('Edistynyt vuokratuottolaskuri'!$C$19*12),('Edistynyt vuokratuottolaskuri'!$C$17),0,0)</f>
        <v>110.41614461107285</v>
      </c>
      <c r="J290" s="15">
        <f>I290-(H290*('Edistynyt vuokratuottolaskuri'!$C$18/12))</f>
        <v>110.41614461107285</v>
      </c>
      <c r="K290" s="15">
        <f t="shared" si="26"/>
        <v>0</v>
      </c>
      <c r="L290" s="15">
        <f t="shared" si="25"/>
        <v>-9112.4240255178011</v>
      </c>
      <c r="M290" s="15">
        <f>'Edistynyt vuokratuottolaskuri'!$C$6-K290-G290</f>
        <v>81112.424025517801</v>
      </c>
      <c r="N290" s="15">
        <f>$N$284+(('Edistynyt vuokratuottolaskuri'!$I$7+$N$284)*'Edistynyt vuokratuottolaskuri'!$C$9*(1-'Edistynyt vuokratuottolaskuri'!$C$41))</f>
        <v>0</v>
      </c>
      <c r="O290" s="15">
        <f>-'Edistynyt vuokratuottolaskuri'!$C$10*('Edistynyt vuokratuottolaskuri'!$I$7+N290-('Edistynyt vuokratuottolaskuri'!$I$17-(N290*Veroaste)))/12</f>
        <v>0</v>
      </c>
      <c r="P290" s="15">
        <f>P289+'Edistynyt vuokratuottolaskuri'!$I$19+N290+O290</f>
        <v>8823.9618137338257</v>
      </c>
      <c r="Q290" s="15">
        <f>IF(P289&gt;0,(P289*('Edistynyt vuokratuottolaskuri'!$F$7/12)),0)</f>
        <v>47.640046491927805</v>
      </c>
      <c r="R290" s="15"/>
      <c r="S290" s="15"/>
      <c r="T290" s="15"/>
      <c r="U290" s="15"/>
      <c r="V290" s="15"/>
      <c r="W290" s="15">
        <f>W289+'Edistynyt vuokratuottolaskuri'!$I$19+Q290+N290</f>
        <v>15541.20836909557</v>
      </c>
    </row>
    <row r="291" spans="1:23" x14ac:dyDescent="0.2">
      <c r="B291" s="2">
        <v>283</v>
      </c>
      <c r="C291" s="15">
        <f>C279+('Edistynyt vuokratuottolaskuri'!$C$52*C279)</f>
        <v>96801.5524128291</v>
      </c>
      <c r="D291" s="15">
        <f t="shared" si="24"/>
        <v>-9112.4240255178011</v>
      </c>
      <c r="E291" s="15">
        <f>-PMT(('Edistynyt vuokratuottolaskuri'!$C$33/12),('Edistynyt vuokratuottolaskuri'!$C$34*12),('Edistynyt vuokratuottolaskuri'!$C$29),0,0)</f>
        <v>209.63805404269655</v>
      </c>
      <c r="F291" s="15">
        <f>E291-(D291*('Edistynyt vuokratuottolaskuri'!$C$33/12))</f>
        <v>224.82542741855954</v>
      </c>
      <c r="G291" s="15">
        <f>IF(Lyhennystapa="Annuiteetti",(D291-F291),IF(Lyhennystapa="Tasalyhennys",(D291-'Edistynyt vuokratuottolaskuri'!$C$38),IF(Lyhennystapa="Bullet",D290,"")))</f>
        <v>-9337.2494529363612</v>
      </c>
      <c r="H291" s="15">
        <f t="shared" si="27"/>
        <v>0</v>
      </c>
      <c r="I291" s="15">
        <f>-PMT(('Edistynyt vuokratuottolaskuri'!$C$18/12),('Edistynyt vuokratuottolaskuri'!$C$19*12),('Edistynyt vuokratuottolaskuri'!$C$17),0,0)</f>
        <v>110.41614461107285</v>
      </c>
      <c r="J291" s="15">
        <f>I291-(H291*('Edistynyt vuokratuottolaskuri'!$C$18/12))</f>
        <v>110.41614461107285</v>
      </c>
      <c r="K291" s="15">
        <f t="shared" si="26"/>
        <v>0</v>
      </c>
      <c r="L291" s="15">
        <f t="shared" si="25"/>
        <v>-9337.2494529363612</v>
      </c>
      <c r="M291" s="15">
        <f>'Edistynyt vuokratuottolaskuri'!$C$6-K291-G291</f>
        <v>81337.249452936361</v>
      </c>
      <c r="N291" s="15">
        <f>$N$284+(('Edistynyt vuokratuottolaskuri'!$I$7+$N$284)*'Edistynyt vuokratuottolaskuri'!$C$9*(1-'Edistynyt vuokratuottolaskuri'!$C$41))</f>
        <v>0</v>
      </c>
      <c r="O291" s="15">
        <f>-'Edistynyt vuokratuottolaskuri'!$C$10*('Edistynyt vuokratuottolaskuri'!$I$7+N291-('Edistynyt vuokratuottolaskuri'!$I$17-(N291*Veroaste)))/12</f>
        <v>0</v>
      </c>
      <c r="P291" s="15">
        <f>P290+'Edistynyt vuokratuottolaskuri'!$I$19+N291+O291</f>
        <v>8855.2524584633775</v>
      </c>
      <c r="Q291" s="15">
        <f>IF(P290&gt;0,(P290*('Edistynyt vuokratuottolaskuri'!$F$7/12)),0)</f>
        <v>47.809584023927542</v>
      </c>
      <c r="R291" s="15"/>
      <c r="S291" s="15"/>
      <c r="T291" s="15"/>
      <c r="U291" s="15"/>
      <c r="V291" s="15"/>
      <c r="W291" s="15">
        <f>W290+'Edistynyt vuokratuottolaskuri'!$I$19+Q291+N291</f>
        <v>15620.308597849049</v>
      </c>
    </row>
    <row r="292" spans="1:23" x14ac:dyDescent="0.2">
      <c r="B292" s="2">
        <v>284</v>
      </c>
      <c r="C292" s="15">
        <f>C280+('Edistynyt vuokratuottolaskuri'!$C$52*C280)</f>
        <v>96801.5524128291</v>
      </c>
      <c r="D292" s="15">
        <f t="shared" si="24"/>
        <v>-9337.2494529363612</v>
      </c>
      <c r="E292" s="15">
        <f>-PMT(('Edistynyt vuokratuottolaskuri'!$C$33/12),('Edistynyt vuokratuottolaskuri'!$C$34*12),('Edistynyt vuokratuottolaskuri'!$C$29),0,0)</f>
        <v>209.63805404269655</v>
      </c>
      <c r="F292" s="15">
        <f>E292-(D292*('Edistynyt vuokratuottolaskuri'!$C$33/12))</f>
        <v>225.20013646425716</v>
      </c>
      <c r="G292" s="15">
        <f>IF(Lyhennystapa="Annuiteetti",(D292-F292),IF(Lyhennystapa="Tasalyhennys",(D292-'Edistynyt vuokratuottolaskuri'!$C$38),IF(Lyhennystapa="Bullet",D291,"")))</f>
        <v>-9562.4495894006177</v>
      </c>
      <c r="H292" s="15">
        <f t="shared" si="27"/>
        <v>0</v>
      </c>
      <c r="I292" s="15">
        <f>-PMT(('Edistynyt vuokratuottolaskuri'!$C$18/12),('Edistynyt vuokratuottolaskuri'!$C$19*12),('Edistynyt vuokratuottolaskuri'!$C$17),0,0)</f>
        <v>110.41614461107285</v>
      </c>
      <c r="J292" s="15">
        <f>I292-(H292*('Edistynyt vuokratuottolaskuri'!$C$18/12))</f>
        <v>110.41614461107285</v>
      </c>
      <c r="K292" s="15">
        <f t="shared" si="26"/>
        <v>0</v>
      </c>
      <c r="L292" s="15">
        <f t="shared" si="25"/>
        <v>-9562.4495894006177</v>
      </c>
      <c r="M292" s="15">
        <f>'Edistynyt vuokratuottolaskuri'!$C$6-K292-G292</f>
        <v>81562.44958940061</v>
      </c>
      <c r="N292" s="15">
        <f>$N$284+(('Edistynyt vuokratuottolaskuri'!$I$7+$N$284)*'Edistynyt vuokratuottolaskuri'!$C$9*(1-'Edistynyt vuokratuottolaskuri'!$C$41))</f>
        <v>0</v>
      </c>
      <c r="O292" s="15">
        <f>-'Edistynyt vuokratuottolaskuri'!$C$10*('Edistynyt vuokratuottolaskuri'!$I$7+N292-('Edistynyt vuokratuottolaskuri'!$I$17-(N292*Veroaste)))/12</f>
        <v>0</v>
      </c>
      <c r="P292" s="15">
        <f>P291+'Edistynyt vuokratuottolaskuri'!$I$19+N292+O292</f>
        <v>8886.5431031929293</v>
      </c>
      <c r="Q292" s="15">
        <f>IF(P291&gt;0,(P291*('Edistynyt vuokratuottolaskuri'!$F$7/12)),0)</f>
        <v>47.979121555927279</v>
      </c>
      <c r="R292" s="15"/>
      <c r="S292" s="15"/>
      <c r="T292" s="15"/>
      <c r="U292" s="15"/>
      <c r="V292" s="15"/>
      <c r="W292" s="15">
        <f>W291+'Edistynyt vuokratuottolaskuri'!$I$19+Q292+N292</f>
        <v>15699.578364134528</v>
      </c>
    </row>
    <row r="293" spans="1:23" x14ac:dyDescent="0.2">
      <c r="B293" s="2">
        <v>285</v>
      </c>
      <c r="C293" s="15">
        <f>C281+('Edistynyt vuokratuottolaskuri'!$C$52*C281)</f>
        <v>96801.5524128291</v>
      </c>
      <c r="D293" s="15">
        <f t="shared" si="24"/>
        <v>-9562.4495894006177</v>
      </c>
      <c r="E293" s="15">
        <f>-PMT(('Edistynyt vuokratuottolaskuri'!$C$33/12),('Edistynyt vuokratuottolaskuri'!$C$34*12),('Edistynyt vuokratuottolaskuri'!$C$29),0,0)</f>
        <v>209.63805404269655</v>
      </c>
      <c r="F293" s="15">
        <f>E293-(D293*('Edistynyt vuokratuottolaskuri'!$C$33/12))</f>
        <v>225.57547002503091</v>
      </c>
      <c r="G293" s="15">
        <f>IF(Lyhennystapa="Annuiteetti",(D293-F293),IF(Lyhennystapa="Tasalyhennys",(D293-'Edistynyt vuokratuottolaskuri'!$C$38),IF(Lyhennystapa="Bullet",D292,"")))</f>
        <v>-9788.0250594256486</v>
      </c>
      <c r="H293" s="15">
        <f t="shared" si="27"/>
        <v>0</v>
      </c>
      <c r="I293" s="15">
        <f>-PMT(('Edistynyt vuokratuottolaskuri'!$C$18/12),('Edistynyt vuokratuottolaskuri'!$C$19*12),('Edistynyt vuokratuottolaskuri'!$C$17),0,0)</f>
        <v>110.41614461107285</v>
      </c>
      <c r="J293" s="15">
        <f>I293-(H293*('Edistynyt vuokratuottolaskuri'!$C$18/12))</f>
        <v>110.41614461107285</v>
      </c>
      <c r="K293" s="15">
        <f t="shared" si="26"/>
        <v>0</v>
      </c>
      <c r="L293" s="15">
        <f t="shared" si="25"/>
        <v>-9788.0250594256486</v>
      </c>
      <c r="M293" s="15">
        <f>'Edistynyt vuokratuottolaskuri'!$C$6-K293-G293</f>
        <v>81788.02505942565</v>
      </c>
      <c r="N293" s="15">
        <f>$N$284+(('Edistynyt vuokratuottolaskuri'!$I$7+$N$284)*'Edistynyt vuokratuottolaskuri'!$C$9*(1-'Edistynyt vuokratuottolaskuri'!$C$41))</f>
        <v>0</v>
      </c>
      <c r="O293" s="15">
        <f>-'Edistynyt vuokratuottolaskuri'!$C$10*('Edistynyt vuokratuottolaskuri'!$I$7+N293-('Edistynyt vuokratuottolaskuri'!$I$17-(N293*Veroaste)))/12</f>
        <v>0</v>
      </c>
      <c r="P293" s="15">
        <f>P292+'Edistynyt vuokratuottolaskuri'!$I$19+N293+O293</f>
        <v>8917.8337479224811</v>
      </c>
      <c r="Q293" s="15">
        <f>IF(P292&gt;0,(P292*('Edistynyt vuokratuottolaskuri'!$F$7/12)),0)</f>
        <v>48.148659087927022</v>
      </c>
      <c r="R293" s="15"/>
      <c r="S293" s="15"/>
      <c r="T293" s="15"/>
      <c r="U293" s="15"/>
      <c r="V293" s="15"/>
      <c r="W293" s="15">
        <f>W292+'Edistynyt vuokratuottolaskuri'!$I$19+Q293+N293</f>
        <v>15779.017667952006</v>
      </c>
    </row>
    <row r="294" spans="1:23" x14ac:dyDescent="0.2">
      <c r="B294" s="2">
        <v>286</v>
      </c>
      <c r="C294" s="15">
        <f>C282+('Edistynyt vuokratuottolaskuri'!$C$52*C282)</f>
        <v>96801.5524128291</v>
      </c>
      <c r="D294" s="15">
        <f t="shared" si="24"/>
        <v>-9788.0250594256486</v>
      </c>
      <c r="E294" s="15">
        <f>-PMT(('Edistynyt vuokratuottolaskuri'!$C$33/12),('Edistynyt vuokratuottolaskuri'!$C$34*12),('Edistynyt vuokratuottolaskuri'!$C$29),0,0)</f>
        <v>209.63805404269655</v>
      </c>
      <c r="F294" s="15">
        <f>E294-(D294*('Edistynyt vuokratuottolaskuri'!$C$33/12))</f>
        <v>225.95142914173931</v>
      </c>
      <c r="G294" s="15">
        <f>IF(Lyhennystapa="Annuiteetti",(D294-F294),IF(Lyhennystapa="Tasalyhennys",(D294-'Edistynyt vuokratuottolaskuri'!$C$38),IF(Lyhennystapa="Bullet",D293,"")))</f>
        <v>-10013.976488567389</v>
      </c>
      <c r="H294" s="15">
        <f t="shared" si="27"/>
        <v>0</v>
      </c>
      <c r="I294" s="15">
        <f>-PMT(('Edistynyt vuokratuottolaskuri'!$C$18/12),('Edistynyt vuokratuottolaskuri'!$C$19*12),('Edistynyt vuokratuottolaskuri'!$C$17),0,0)</f>
        <v>110.41614461107285</v>
      </c>
      <c r="J294" s="15">
        <f>I294-(H294*('Edistynyt vuokratuottolaskuri'!$C$18/12))</f>
        <v>110.41614461107285</v>
      </c>
      <c r="K294" s="15">
        <f t="shared" si="26"/>
        <v>0</v>
      </c>
      <c r="L294" s="15">
        <f t="shared" si="25"/>
        <v>-10013.976488567389</v>
      </c>
      <c r="M294" s="15">
        <f>'Edistynyt vuokratuottolaskuri'!$C$6-K294-G294</f>
        <v>82013.976488567394</v>
      </c>
      <c r="N294" s="15">
        <f>$N$284+(('Edistynyt vuokratuottolaskuri'!$I$7+$N$284)*'Edistynyt vuokratuottolaskuri'!$C$9*(1-'Edistynyt vuokratuottolaskuri'!$C$41))</f>
        <v>0</v>
      </c>
      <c r="O294" s="15">
        <f>-'Edistynyt vuokratuottolaskuri'!$C$10*('Edistynyt vuokratuottolaskuri'!$I$7+N294-('Edistynyt vuokratuottolaskuri'!$I$17-(N294*Veroaste)))/12</f>
        <v>0</v>
      </c>
      <c r="P294" s="15">
        <f>P293+'Edistynyt vuokratuottolaskuri'!$I$19+N294+O294</f>
        <v>8949.1243926520328</v>
      </c>
      <c r="Q294" s="15">
        <f>IF(P293&gt;0,(P293*('Edistynyt vuokratuottolaskuri'!$F$7/12)),0)</f>
        <v>48.318196619926759</v>
      </c>
      <c r="R294" s="15"/>
      <c r="S294" s="15"/>
      <c r="T294" s="15"/>
      <c r="U294" s="15"/>
      <c r="V294" s="15"/>
      <c r="W294" s="15">
        <f>W293+'Edistynyt vuokratuottolaskuri'!$I$19+Q294+N294</f>
        <v>15858.626509301484</v>
      </c>
    </row>
    <row r="295" spans="1:23" x14ac:dyDescent="0.2">
      <c r="B295" s="2">
        <v>287</v>
      </c>
      <c r="C295" s="15">
        <f>C283+('Edistynyt vuokratuottolaskuri'!$C$52*C283)</f>
        <v>96801.5524128291</v>
      </c>
      <c r="D295" s="15">
        <f t="shared" si="24"/>
        <v>-10013.976488567389</v>
      </c>
      <c r="E295" s="15">
        <f>-PMT(('Edistynyt vuokratuottolaskuri'!$C$33/12),('Edistynyt vuokratuottolaskuri'!$C$34*12),('Edistynyt vuokratuottolaskuri'!$C$29),0,0)</f>
        <v>209.63805404269655</v>
      </c>
      <c r="F295" s="15">
        <f>E295-(D295*('Edistynyt vuokratuottolaskuri'!$C$33/12))</f>
        <v>226.32801485697553</v>
      </c>
      <c r="G295" s="15">
        <f>IF(Lyhennystapa="Annuiteetti",(D295-F295),IF(Lyhennystapa="Tasalyhennys",(D295-'Edistynyt vuokratuottolaskuri'!$C$38),IF(Lyhennystapa="Bullet",D294,"")))</f>
        <v>-10240.304503424364</v>
      </c>
      <c r="H295" s="15">
        <f t="shared" si="27"/>
        <v>0</v>
      </c>
      <c r="I295" s="15">
        <f>-PMT(('Edistynyt vuokratuottolaskuri'!$C$18/12),('Edistynyt vuokratuottolaskuri'!$C$19*12),('Edistynyt vuokratuottolaskuri'!$C$17),0,0)</f>
        <v>110.41614461107285</v>
      </c>
      <c r="J295" s="15">
        <f>I295-(H295*('Edistynyt vuokratuottolaskuri'!$C$18/12))</f>
        <v>110.41614461107285</v>
      </c>
      <c r="K295" s="15">
        <f t="shared" si="26"/>
        <v>0</v>
      </c>
      <c r="L295" s="15">
        <f t="shared" si="25"/>
        <v>-10240.304503424364</v>
      </c>
      <c r="M295" s="15">
        <f>'Edistynyt vuokratuottolaskuri'!$C$6-K295-G295</f>
        <v>82240.30450342437</v>
      </c>
      <c r="N295" s="15">
        <f>$N$284+(('Edistynyt vuokratuottolaskuri'!$I$7+$N$284)*'Edistynyt vuokratuottolaskuri'!$C$9*(1-'Edistynyt vuokratuottolaskuri'!$C$41))</f>
        <v>0</v>
      </c>
      <c r="O295" s="15">
        <f>-'Edistynyt vuokratuottolaskuri'!$C$10*('Edistynyt vuokratuottolaskuri'!$I$7+N295-('Edistynyt vuokratuottolaskuri'!$I$17-(N295*Veroaste)))/12</f>
        <v>0</v>
      </c>
      <c r="P295" s="15">
        <f>P294+'Edistynyt vuokratuottolaskuri'!$I$19+N295+O295</f>
        <v>8980.4150373815846</v>
      </c>
      <c r="Q295" s="15">
        <f>IF(P294&gt;0,(P294*('Edistynyt vuokratuottolaskuri'!$F$7/12)),0)</f>
        <v>48.487734151926496</v>
      </c>
      <c r="R295" s="15"/>
      <c r="S295" s="15"/>
      <c r="T295" s="15"/>
      <c r="U295" s="15"/>
      <c r="V295" s="15"/>
      <c r="W295" s="15">
        <f>W294+'Edistynyt vuokratuottolaskuri'!$I$19+Q295+N295</f>
        <v>15938.404888182962</v>
      </c>
    </row>
    <row r="296" spans="1:23" x14ac:dyDescent="0.2">
      <c r="B296" s="2">
        <v>288</v>
      </c>
      <c r="C296" s="15">
        <f>C284+('Edistynyt vuokratuottolaskuri'!$C$52*C284)</f>
        <v>96801.5524128291</v>
      </c>
      <c r="D296" s="15">
        <f t="shared" si="24"/>
        <v>-10240.304503424364</v>
      </c>
      <c r="E296" s="15">
        <f>-PMT(('Edistynyt vuokratuottolaskuri'!$C$33/12),('Edistynyt vuokratuottolaskuri'!$C$34*12),('Edistynyt vuokratuottolaskuri'!$C$29),0,0)</f>
        <v>209.63805404269655</v>
      </c>
      <c r="F296" s="15">
        <f>E296-(D296*('Edistynyt vuokratuottolaskuri'!$C$33/12))</f>
        <v>226.70522821507049</v>
      </c>
      <c r="G296" s="15">
        <f>IF(Lyhennystapa="Annuiteetti",(D296-F296),IF(Lyhennystapa="Tasalyhennys",(D296-'Edistynyt vuokratuottolaskuri'!$C$38),IF(Lyhennystapa="Bullet",D295,"")))</f>
        <v>-10467.009731639435</v>
      </c>
      <c r="H296" s="15">
        <f t="shared" si="27"/>
        <v>0</v>
      </c>
      <c r="I296" s="15">
        <f>-PMT(('Edistynyt vuokratuottolaskuri'!$C$18/12),('Edistynyt vuokratuottolaskuri'!$C$19*12),('Edistynyt vuokratuottolaskuri'!$C$17),0,0)</f>
        <v>110.41614461107285</v>
      </c>
      <c r="J296" s="15">
        <f>I296-(H296*('Edistynyt vuokratuottolaskuri'!$C$18/12))</f>
        <v>110.41614461107285</v>
      </c>
      <c r="K296" s="15">
        <f t="shared" si="26"/>
        <v>0</v>
      </c>
      <c r="L296" s="15">
        <f t="shared" si="25"/>
        <v>-10467.009731639435</v>
      </c>
      <c r="M296" s="15">
        <f>'Edistynyt vuokratuottolaskuri'!$C$6-K296-G296</f>
        <v>82467.009731639439</v>
      </c>
      <c r="N296" s="15">
        <f>$N$284+(('Edistynyt vuokratuottolaskuri'!$I$7+$N$284)*'Edistynyt vuokratuottolaskuri'!$C$9*(1-'Edistynyt vuokratuottolaskuri'!$C$41))</f>
        <v>0</v>
      </c>
      <c r="O296" s="15">
        <f>-'Edistynyt vuokratuottolaskuri'!$C$10*('Edistynyt vuokratuottolaskuri'!$I$7+N296-('Edistynyt vuokratuottolaskuri'!$I$17-(N296*Veroaste)))/12</f>
        <v>0</v>
      </c>
      <c r="P296" s="15">
        <f>P295+'Edistynyt vuokratuottolaskuri'!$I$19+N296+O296</f>
        <v>9011.7056821111364</v>
      </c>
      <c r="Q296" s="15">
        <f>IF(P295&gt;0,(P295*('Edistynyt vuokratuottolaskuri'!$F$7/12)),0)</f>
        <v>48.65727168392624</v>
      </c>
      <c r="R296" s="15"/>
      <c r="S296" s="15"/>
      <c r="T296" s="15"/>
      <c r="U296" s="15"/>
      <c r="V296" s="15"/>
      <c r="W296" s="15">
        <f>W295+'Edistynyt vuokratuottolaskuri'!$I$19+Q296+N296</f>
        <v>16018.352804596439</v>
      </c>
    </row>
    <row r="297" spans="1:23" x14ac:dyDescent="0.2">
      <c r="A297" s="2" t="s">
        <v>59</v>
      </c>
      <c r="B297" s="2">
        <v>289</v>
      </c>
      <c r="C297" s="15">
        <f>C285+('Edistynyt vuokratuottolaskuri'!$C$52*C285)</f>
        <v>97769.567936957392</v>
      </c>
      <c r="D297" s="15">
        <f t="shared" si="24"/>
        <v>-10467.009731639435</v>
      </c>
      <c r="E297" s="15">
        <f>-PMT(('Edistynyt vuokratuottolaskuri'!$C$33/12),('Edistynyt vuokratuottolaskuri'!$C$34*12),('Edistynyt vuokratuottolaskuri'!$C$29),0,0)</f>
        <v>209.63805404269655</v>
      </c>
      <c r="F297" s="15">
        <f>E297-(D297*('Edistynyt vuokratuottolaskuri'!$C$33/12))</f>
        <v>227.08307026209562</v>
      </c>
      <c r="G297" s="15">
        <f>IF(Lyhennystapa="Annuiteetti",(D297-F297),IF(Lyhennystapa="Tasalyhennys",(D297-'Edistynyt vuokratuottolaskuri'!$C$38),IF(Lyhennystapa="Bullet",D296,"")))</f>
        <v>-10694.09280190153</v>
      </c>
      <c r="H297" s="15">
        <f t="shared" si="27"/>
        <v>0</v>
      </c>
      <c r="I297" s="15">
        <f>-PMT(('Edistynyt vuokratuottolaskuri'!$C$18/12),('Edistynyt vuokratuottolaskuri'!$C$19*12),('Edistynyt vuokratuottolaskuri'!$C$17),0,0)</f>
        <v>110.41614461107285</v>
      </c>
      <c r="J297" s="15">
        <f>I297-(H297*('Edistynyt vuokratuottolaskuri'!$C$18/12))</f>
        <v>110.41614461107285</v>
      </c>
      <c r="K297" s="15">
        <f t="shared" si="26"/>
        <v>0</v>
      </c>
      <c r="L297" s="15">
        <f t="shared" si="25"/>
        <v>-10694.09280190153</v>
      </c>
      <c r="M297" s="15">
        <f>'Edistynyt vuokratuottolaskuri'!$C$6-K297-G297</f>
        <v>82694.092801901526</v>
      </c>
      <c r="N297" s="15">
        <f>$N$296+(('Edistynyt vuokratuottolaskuri'!$I$7+$N$296)*'Edistynyt vuokratuottolaskuri'!$C$9*(1-'Edistynyt vuokratuottolaskuri'!$C$41))</f>
        <v>0</v>
      </c>
      <c r="O297" s="15">
        <f>-'Edistynyt vuokratuottolaskuri'!$C$10*('Edistynyt vuokratuottolaskuri'!$I$7+N297-('Edistynyt vuokratuottolaskuri'!$I$17-(N297*Veroaste)))/12</f>
        <v>0</v>
      </c>
      <c r="P297" s="15">
        <f>P296+'Edistynyt vuokratuottolaskuri'!$I$19+N297+O297</f>
        <v>9042.9963268406882</v>
      </c>
      <c r="Q297" s="15">
        <f>IF(P296&gt;0,(P296*('Edistynyt vuokratuottolaskuri'!$F$7/12)),0)</f>
        <v>48.826809215925977</v>
      </c>
      <c r="R297" s="15">
        <f>P296</f>
        <v>9011.7056821111364</v>
      </c>
      <c r="S297" s="15">
        <f>(IF(C297&gt;=$C$9,C297,$C$9))-L296-'Edistynyt vuokratuottolaskuri'!$C$28</f>
        <v>88236.57766859683</v>
      </c>
      <c r="T297" s="15">
        <f>R297+S297</f>
        <v>97248.283350707963</v>
      </c>
      <c r="U297" s="15">
        <f>(R285+(S285*'Edistynyt vuokratuottolaskuri'!$C$42)+U285)*0.1+U285</f>
        <v>209147.84007751796</v>
      </c>
      <c r="V297" s="15">
        <f>T297+U297</f>
        <v>306396.12342822592</v>
      </c>
      <c r="W297" s="15">
        <f>W296+'Edistynyt vuokratuottolaskuri'!$I$19+Q297+N297</f>
        <v>16098.470258541916</v>
      </c>
    </row>
    <row r="298" spans="1:23" x14ac:dyDescent="0.2">
      <c r="B298" s="2">
        <v>290</v>
      </c>
      <c r="C298" s="15">
        <f>C286+('Edistynyt vuokratuottolaskuri'!$C$52*C286)</f>
        <v>97769.567936957392</v>
      </c>
      <c r="D298" s="15">
        <f t="shared" si="24"/>
        <v>-10694.09280190153</v>
      </c>
      <c r="E298" s="15">
        <f>-PMT(('Edistynyt vuokratuottolaskuri'!$C$33/12),('Edistynyt vuokratuottolaskuri'!$C$34*12),('Edistynyt vuokratuottolaskuri'!$C$29),0,0)</f>
        <v>209.63805404269655</v>
      </c>
      <c r="F298" s="15">
        <f>E298-(D298*('Edistynyt vuokratuottolaskuri'!$C$33/12))</f>
        <v>227.46154204586577</v>
      </c>
      <c r="G298" s="15">
        <f>IF(Lyhennystapa="Annuiteetti",(D298-F298),IF(Lyhennystapa="Tasalyhennys",(D298-'Edistynyt vuokratuottolaskuri'!$C$38),IF(Lyhennystapa="Bullet",D297,"")))</f>
        <v>-10921.554343947395</v>
      </c>
      <c r="H298" s="15">
        <f t="shared" si="27"/>
        <v>0</v>
      </c>
      <c r="I298" s="15">
        <f>-PMT(('Edistynyt vuokratuottolaskuri'!$C$18/12),('Edistynyt vuokratuottolaskuri'!$C$19*12),('Edistynyt vuokratuottolaskuri'!$C$17),0,0)</f>
        <v>110.41614461107285</v>
      </c>
      <c r="J298" s="15">
        <f>I298-(H298*('Edistynyt vuokratuottolaskuri'!$C$18/12))</f>
        <v>110.41614461107285</v>
      </c>
      <c r="K298" s="15">
        <f t="shared" si="26"/>
        <v>0</v>
      </c>
      <c r="L298" s="15">
        <f t="shared" si="25"/>
        <v>-10921.554343947395</v>
      </c>
      <c r="M298" s="15">
        <f>'Edistynyt vuokratuottolaskuri'!$C$6-K298-G298</f>
        <v>82921.554343947399</v>
      </c>
      <c r="N298" s="15">
        <f>$N$296+(('Edistynyt vuokratuottolaskuri'!$I$7+$N$296)*'Edistynyt vuokratuottolaskuri'!$C$9*(1-'Edistynyt vuokratuottolaskuri'!$C$41))</f>
        <v>0</v>
      </c>
      <c r="O298" s="15">
        <f>-'Edistynyt vuokratuottolaskuri'!$C$10*('Edistynyt vuokratuottolaskuri'!$I$7+N298-('Edistynyt vuokratuottolaskuri'!$I$17-(N298*Veroaste)))/12</f>
        <v>0</v>
      </c>
      <c r="P298" s="15">
        <f>P297+'Edistynyt vuokratuottolaskuri'!$I$19+N298+O298</f>
        <v>9074.28697157024</v>
      </c>
      <c r="Q298" s="15">
        <f>IF(P297&gt;0,(P297*('Edistynyt vuokratuottolaskuri'!$F$7/12)),0)</f>
        <v>48.996346747925713</v>
      </c>
      <c r="R298" s="15"/>
      <c r="S298" s="15"/>
      <c r="T298" s="15"/>
      <c r="U298" s="15"/>
      <c r="V298" s="15"/>
      <c r="W298" s="15">
        <f>W297+'Edistynyt vuokratuottolaskuri'!$I$19+Q298+N298</f>
        <v>16178.757250019395</v>
      </c>
    </row>
    <row r="299" spans="1:23" x14ac:dyDescent="0.2">
      <c r="B299" s="2">
        <v>291</v>
      </c>
      <c r="C299" s="15">
        <f>C287+('Edistynyt vuokratuottolaskuri'!$C$52*C287)</f>
        <v>97769.567936957392</v>
      </c>
      <c r="D299" s="15">
        <f t="shared" si="24"/>
        <v>-10921.554343947395</v>
      </c>
      <c r="E299" s="15">
        <f>-PMT(('Edistynyt vuokratuottolaskuri'!$C$33/12),('Edistynyt vuokratuottolaskuri'!$C$34*12),('Edistynyt vuokratuottolaskuri'!$C$29),0,0)</f>
        <v>209.63805404269655</v>
      </c>
      <c r="F299" s="15">
        <f>E299-(D299*('Edistynyt vuokratuottolaskuri'!$C$33/12))</f>
        <v>227.84064461594221</v>
      </c>
      <c r="G299" s="15">
        <f>IF(Lyhennystapa="Annuiteetti",(D299-F299),IF(Lyhennystapa="Tasalyhennys",(D299-'Edistynyt vuokratuottolaskuri'!$C$38),IF(Lyhennystapa="Bullet",D298,"")))</f>
        <v>-11149.394988563337</v>
      </c>
      <c r="H299" s="15">
        <f t="shared" si="27"/>
        <v>0</v>
      </c>
      <c r="I299" s="15">
        <f>-PMT(('Edistynyt vuokratuottolaskuri'!$C$18/12),('Edistynyt vuokratuottolaskuri'!$C$19*12),('Edistynyt vuokratuottolaskuri'!$C$17),0,0)</f>
        <v>110.41614461107285</v>
      </c>
      <c r="J299" s="15">
        <f>I299-(H299*('Edistynyt vuokratuottolaskuri'!$C$18/12))</f>
        <v>110.41614461107285</v>
      </c>
      <c r="K299" s="15">
        <f t="shared" si="26"/>
        <v>0</v>
      </c>
      <c r="L299" s="15">
        <f t="shared" si="25"/>
        <v>-11149.394988563337</v>
      </c>
      <c r="M299" s="15">
        <f>'Edistynyt vuokratuottolaskuri'!$C$6-K299-G299</f>
        <v>83149.394988563334</v>
      </c>
      <c r="N299" s="15">
        <f>$N$296+(('Edistynyt vuokratuottolaskuri'!$I$7+$N$296)*'Edistynyt vuokratuottolaskuri'!$C$9*(1-'Edistynyt vuokratuottolaskuri'!$C$41))</f>
        <v>0</v>
      </c>
      <c r="O299" s="15">
        <f>-'Edistynyt vuokratuottolaskuri'!$C$10*('Edistynyt vuokratuottolaskuri'!$I$7+N299-('Edistynyt vuokratuottolaskuri'!$I$17-(N299*Veroaste)))/12</f>
        <v>0</v>
      </c>
      <c r="P299" s="15">
        <f>P298+'Edistynyt vuokratuottolaskuri'!$I$19+N299+O299</f>
        <v>9105.5776162997918</v>
      </c>
      <c r="Q299" s="15">
        <f>IF(P298&gt;0,(P298*('Edistynyt vuokratuottolaskuri'!$F$7/12)),0)</f>
        <v>49.16588427992545</v>
      </c>
      <c r="R299" s="15"/>
      <c r="S299" s="15"/>
      <c r="T299" s="15"/>
      <c r="U299" s="15"/>
      <c r="V299" s="15"/>
      <c r="W299" s="15">
        <f>W298+'Edistynyt vuokratuottolaskuri'!$I$19+Q299+N299</f>
        <v>16259.213779028873</v>
      </c>
    </row>
    <row r="300" spans="1:23" x14ac:dyDescent="0.2">
      <c r="B300" s="2">
        <v>292</v>
      </c>
      <c r="C300" s="15">
        <f>C288+('Edistynyt vuokratuottolaskuri'!$C$52*C288)</f>
        <v>97769.567936957392</v>
      </c>
      <c r="D300" s="15">
        <f t="shared" si="24"/>
        <v>-11149.394988563337</v>
      </c>
      <c r="E300" s="15">
        <f>-PMT(('Edistynyt vuokratuottolaskuri'!$C$33/12),('Edistynyt vuokratuottolaskuri'!$C$34*12),('Edistynyt vuokratuottolaskuri'!$C$29),0,0)</f>
        <v>209.63805404269655</v>
      </c>
      <c r="F300" s="15">
        <f>E300-(D300*('Edistynyt vuokratuottolaskuri'!$C$33/12))</f>
        <v>228.22037902363545</v>
      </c>
      <c r="G300" s="15">
        <f>IF(Lyhennystapa="Annuiteetti",(D300-F300),IF(Lyhennystapa="Tasalyhennys",(D300-'Edistynyt vuokratuottolaskuri'!$C$38),IF(Lyhennystapa="Bullet",D299,"")))</f>
        <v>-11377.615367586974</v>
      </c>
      <c r="H300" s="15">
        <f t="shared" si="27"/>
        <v>0</v>
      </c>
      <c r="I300" s="15">
        <f>-PMT(('Edistynyt vuokratuottolaskuri'!$C$18/12),('Edistynyt vuokratuottolaskuri'!$C$19*12),('Edistynyt vuokratuottolaskuri'!$C$17),0,0)</f>
        <v>110.41614461107285</v>
      </c>
      <c r="J300" s="15">
        <f>I300-(H300*('Edistynyt vuokratuottolaskuri'!$C$18/12))</f>
        <v>110.41614461107285</v>
      </c>
      <c r="K300" s="15">
        <f t="shared" si="26"/>
        <v>0</v>
      </c>
      <c r="L300" s="15">
        <f t="shared" si="25"/>
        <v>-11377.615367586974</v>
      </c>
      <c r="M300" s="15">
        <f>'Edistynyt vuokratuottolaskuri'!$C$6-K300-G300</f>
        <v>83377.615367586972</v>
      </c>
      <c r="N300" s="15">
        <f>$N$296+(('Edistynyt vuokratuottolaskuri'!$I$7+$N$296)*'Edistynyt vuokratuottolaskuri'!$C$9*(1-'Edistynyt vuokratuottolaskuri'!$C$41))</f>
        <v>0</v>
      </c>
      <c r="O300" s="15">
        <f>-'Edistynyt vuokratuottolaskuri'!$C$10*('Edistynyt vuokratuottolaskuri'!$I$7+N300-('Edistynyt vuokratuottolaskuri'!$I$17-(N300*Veroaste)))/12</f>
        <v>0</v>
      </c>
      <c r="P300" s="15">
        <f>P299+'Edistynyt vuokratuottolaskuri'!$I$19+N300+O300</f>
        <v>9136.8682610293436</v>
      </c>
      <c r="Q300" s="15">
        <f>IF(P299&gt;0,(P299*('Edistynyt vuokratuottolaskuri'!$F$7/12)),0)</f>
        <v>49.335421811925194</v>
      </c>
      <c r="R300" s="15"/>
      <c r="S300" s="15"/>
      <c r="T300" s="15"/>
      <c r="U300" s="15"/>
      <c r="V300" s="15"/>
      <c r="W300" s="15">
        <f>W299+'Edistynyt vuokratuottolaskuri'!$I$19+Q300+N300</f>
        <v>16339.83984557035</v>
      </c>
    </row>
    <row r="301" spans="1:23" x14ac:dyDescent="0.2">
      <c r="B301" s="2">
        <v>293</v>
      </c>
      <c r="C301" s="15">
        <f>C289+('Edistynyt vuokratuottolaskuri'!$C$52*C289)</f>
        <v>97769.567936957392</v>
      </c>
      <c r="D301" s="15">
        <f t="shared" si="24"/>
        <v>-11377.615367586974</v>
      </c>
      <c r="E301" s="15">
        <f>-PMT(('Edistynyt vuokratuottolaskuri'!$C$33/12),('Edistynyt vuokratuottolaskuri'!$C$34*12),('Edistynyt vuokratuottolaskuri'!$C$29),0,0)</f>
        <v>209.63805404269655</v>
      </c>
      <c r="F301" s="15">
        <f>E301-(D301*('Edistynyt vuokratuottolaskuri'!$C$33/12))</f>
        <v>228.60074632200818</v>
      </c>
      <c r="G301" s="15">
        <f>IF(Lyhennystapa="Annuiteetti",(D301-F301),IF(Lyhennystapa="Tasalyhennys",(D301-'Edistynyt vuokratuottolaskuri'!$C$38),IF(Lyhennystapa="Bullet",D300,"")))</f>
        <v>-11606.216113908982</v>
      </c>
      <c r="H301" s="15">
        <f t="shared" si="27"/>
        <v>0</v>
      </c>
      <c r="I301" s="15">
        <f>-PMT(('Edistynyt vuokratuottolaskuri'!$C$18/12),('Edistynyt vuokratuottolaskuri'!$C$19*12),('Edistynyt vuokratuottolaskuri'!$C$17),0,0)</f>
        <v>110.41614461107285</v>
      </c>
      <c r="J301" s="15">
        <f>I301-(H301*('Edistynyt vuokratuottolaskuri'!$C$18/12))</f>
        <v>110.41614461107285</v>
      </c>
      <c r="K301" s="15">
        <f t="shared" si="26"/>
        <v>0</v>
      </c>
      <c r="L301" s="15">
        <f t="shared" si="25"/>
        <v>-11606.216113908982</v>
      </c>
      <c r="M301" s="15">
        <f>'Edistynyt vuokratuottolaskuri'!$C$6-K301-G301</f>
        <v>83606.216113908988</v>
      </c>
      <c r="N301" s="15">
        <f>$N$296+(('Edistynyt vuokratuottolaskuri'!$I$7+$N$296)*'Edistynyt vuokratuottolaskuri'!$C$9*(1-'Edistynyt vuokratuottolaskuri'!$C$41))</f>
        <v>0</v>
      </c>
      <c r="O301" s="15">
        <f>-'Edistynyt vuokratuottolaskuri'!$C$10*('Edistynyt vuokratuottolaskuri'!$I$7+N301-('Edistynyt vuokratuottolaskuri'!$I$17-(N301*Veroaste)))/12</f>
        <v>0</v>
      </c>
      <c r="P301" s="15">
        <f>P300+'Edistynyt vuokratuottolaskuri'!$I$19+N301+O301</f>
        <v>9168.1589057588953</v>
      </c>
      <c r="Q301" s="15">
        <f>IF(P300&gt;0,(P300*('Edistynyt vuokratuottolaskuri'!$F$7/12)),0)</f>
        <v>49.504959343924931</v>
      </c>
      <c r="R301" s="15"/>
      <c r="S301" s="15"/>
      <c r="T301" s="15"/>
      <c r="U301" s="15"/>
      <c r="V301" s="15"/>
      <c r="W301" s="15">
        <f>W300+'Edistynyt vuokratuottolaskuri'!$I$19+Q301+N301</f>
        <v>16420.635449643825</v>
      </c>
    </row>
    <row r="302" spans="1:23" x14ac:dyDescent="0.2">
      <c r="B302" s="2">
        <v>294</v>
      </c>
      <c r="C302" s="15">
        <f>C290+('Edistynyt vuokratuottolaskuri'!$C$52*C290)</f>
        <v>97769.567936957392</v>
      </c>
      <c r="D302" s="15">
        <f t="shared" si="24"/>
        <v>-11606.216113908982</v>
      </c>
      <c r="E302" s="15">
        <f>-PMT(('Edistynyt vuokratuottolaskuri'!$C$33/12),('Edistynyt vuokratuottolaskuri'!$C$34*12),('Edistynyt vuokratuottolaskuri'!$C$29),0,0)</f>
        <v>209.63805404269655</v>
      </c>
      <c r="F302" s="15">
        <f>E302-(D302*('Edistynyt vuokratuottolaskuri'!$C$33/12))</f>
        <v>228.98174756587818</v>
      </c>
      <c r="G302" s="15">
        <f>IF(Lyhennystapa="Annuiteetti",(D302-F302),IF(Lyhennystapa="Tasalyhennys",(D302-'Edistynyt vuokratuottolaskuri'!$C$38),IF(Lyhennystapa="Bullet",D301,"")))</f>
        <v>-11835.19786147486</v>
      </c>
      <c r="H302" s="15">
        <f t="shared" si="27"/>
        <v>0</v>
      </c>
      <c r="I302" s="15">
        <f>-PMT(('Edistynyt vuokratuottolaskuri'!$C$18/12),('Edistynyt vuokratuottolaskuri'!$C$19*12),('Edistynyt vuokratuottolaskuri'!$C$17),0,0)</f>
        <v>110.41614461107285</v>
      </c>
      <c r="J302" s="15">
        <f>I302-(H302*('Edistynyt vuokratuottolaskuri'!$C$18/12))</f>
        <v>110.41614461107285</v>
      </c>
      <c r="K302" s="15">
        <f t="shared" si="26"/>
        <v>0</v>
      </c>
      <c r="L302" s="15">
        <f t="shared" si="25"/>
        <v>-11835.19786147486</v>
      </c>
      <c r="M302" s="15">
        <f>'Edistynyt vuokratuottolaskuri'!$C$6-K302-G302</f>
        <v>83835.197861474866</v>
      </c>
      <c r="N302" s="15">
        <f>$N$296+(('Edistynyt vuokratuottolaskuri'!$I$7+$N$296)*'Edistynyt vuokratuottolaskuri'!$C$9*(1-'Edistynyt vuokratuottolaskuri'!$C$41))</f>
        <v>0</v>
      </c>
      <c r="O302" s="15">
        <f>-'Edistynyt vuokratuottolaskuri'!$C$10*('Edistynyt vuokratuottolaskuri'!$I$7+N302-('Edistynyt vuokratuottolaskuri'!$I$17-(N302*Veroaste)))/12</f>
        <v>0</v>
      </c>
      <c r="P302" s="15">
        <f>P301+'Edistynyt vuokratuottolaskuri'!$I$19+N302+O302</f>
        <v>9199.4495504884471</v>
      </c>
      <c r="Q302" s="15">
        <f>IF(P301&gt;0,(P301*('Edistynyt vuokratuottolaskuri'!$F$7/12)),0)</f>
        <v>49.674496875924667</v>
      </c>
      <c r="R302" s="15"/>
      <c r="S302" s="15"/>
      <c r="T302" s="15"/>
      <c r="U302" s="15"/>
      <c r="V302" s="15"/>
      <c r="W302" s="15">
        <f>W301+'Edistynyt vuokratuottolaskuri'!$I$19+Q302+N302</f>
        <v>16501.600591249302</v>
      </c>
    </row>
    <row r="303" spans="1:23" x14ac:dyDescent="0.2">
      <c r="B303" s="2">
        <v>295</v>
      </c>
      <c r="C303" s="15">
        <f>C291+('Edistynyt vuokratuottolaskuri'!$C$52*C291)</f>
        <v>97769.567936957392</v>
      </c>
      <c r="D303" s="15">
        <f t="shared" si="24"/>
        <v>-11835.19786147486</v>
      </c>
      <c r="E303" s="15">
        <f>-PMT(('Edistynyt vuokratuottolaskuri'!$C$33/12),('Edistynyt vuokratuottolaskuri'!$C$34*12),('Edistynyt vuokratuottolaskuri'!$C$29),0,0)</f>
        <v>209.63805404269655</v>
      </c>
      <c r="F303" s="15">
        <f>E303-(D303*('Edistynyt vuokratuottolaskuri'!$C$33/12))</f>
        <v>229.36338381182134</v>
      </c>
      <c r="G303" s="15">
        <f>IF(Lyhennystapa="Annuiteetti",(D303-F303),IF(Lyhennystapa="Tasalyhennys",(D303-'Edistynyt vuokratuottolaskuri'!$C$38),IF(Lyhennystapa="Bullet",D302,"")))</f>
        <v>-12064.561245286683</v>
      </c>
      <c r="H303" s="15">
        <f t="shared" si="27"/>
        <v>0</v>
      </c>
      <c r="I303" s="15">
        <f>-PMT(('Edistynyt vuokratuottolaskuri'!$C$18/12),('Edistynyt vuokratuottolaskuri'!$C$19*12),('Edistynyt vuokratuottolaskuri'!$C$17),0,0)</f>
        <v>110.41614461107285</v>
      </c>
      <c r="J303" s="15">
        <f>I303-(H303*('Edistynyt vuokratuottolaskuri'!$C$18/12))</f>
        <v>110.41614461107285</v>
      </c>
      <c r="K303" s="15">
        <f t="shared" si="26"/>
        <v>0</v>
      </c>
      <c r="L303" s="15">
        <f t="shared" si="25"/>
        <v>-12064.561245286683</v>
      </c>
      <c r="M303" s="15">
        <f>'Edistynyt vuokratuottolaskuri'!$C$6-K303-G303</f>
        <v>84064.561245286677</v>
      </c>
      <c r="N303" s="15">
        <f>$N$296+(('Edistynyt vuokratuottolaskuri'!$I$7+$N$296)*'Edistynyt vuokratuottolaskuri'!$C$9*(1-'Edistynyt vuokratuottolaskuri'!$C$41))</f>
        <v>0</v>
      </c>
      <c r="O303" s="15">
        <f>-'Edistynyt vuokratuottolaskuri'!$C$10*('Edistynyt vuokratuottolaskuri'!$I$7+N303-('Edistynyt vuokratuottolaskuri'!$I$17-(N303*Veroaste)))/12</f>
        <v>0</v>
      </c>
      <c r="P303" s="15">
        <f>P302+'Edistynyt vuokratuottolaskuri'!$I$19+N303+O303</f>
        <v>9230.7401952179989</v>
      </c>
      <c r="Q303" s="15">
        <f>IF(P302&gt;0,(P302*('Edistynyt vuokratuottolaskuri'!$F$7/12)),0)</f>
        <v>49.844034407924411</v>
      </c>
      <c r="R303" s="15"/>
      <c r="S303" s="15"/>
      <c r="T303" s="15"/>
      <c r="U303" s="15"/>
      <c r="V303" s="15"/>
      <c r="W303" s="15">
        <f>W302+'Edistynyt vuokratuottolaskuri'!$I$19+Q303+N303</f>
        <v>16582.73527038678</v>
      </c>
    </row>
    <row r="304" spans="1:23" x14ac:dyDescent="0.2">
      <c r="B304" s="2">
        <v>296</v>
      </c>
      <c r="C304" s="15">
        <f>C292+('Edistynyt vuokratuottolaskuri'!$C$52*C292)</f>
        <v>97769.567936957392</v>
      </c>
      <c r="D304" s="15">
        <f t="shared" si="24"/>
        <v>-12064.561245286683</v>
      </c>
      <c r="E304" s="15">
        <f>-PMT(('Edistynyt vuokratuottolaskuri'!$C$33/12),('Edistynyt vuokratuottolaskuri'!$C$34*12),('Edistynyt vuokratuottolaskuri'!$C$29),0,0)</f>
        <v>209.63805404269655</v>
      </c>
      <c r="F304" s="15">
        <f>E304-(D304*('Edistynyt vuokratuottolaskuri'!$C$33/12))</f>
        <v>229.74565611817437</v>
      </c>
      <c r="G304" s="15">
        <f>IF(Lyhennystapa="Annuiteetti",(D304-F304),IF(Lyhennystapa="Tasalyhennys",(D304-'Edistynyt vuokratuottolaskuri'!$C$38),IF(Lyhennystapa="Bullet",D303,"")))</f>
        <v>-12294.306901404858</v>
      </c>
      <c r="H304" s="15">
        <f t="shared" si="27"/>
        <v>0</v>
      </c>
      <c r="I304" s="15">
        <f>-PMT(('Edistynyt vuokratuottolaskuri'!$C$18/12),('Edistynyt vuokratuottolaskuri'!$C$19*12),('Edistynyt vuokratuottolaskuri'!$C$17),0,0)</f>
        <v>110.41614461107285</v>
      </c>
      <c r="J304" s="15">
        <f>I304-(H304*('Edistynyt vuokratuottolaskuri'!$C$18/12))</f>
        <v>110.41614461107285</v>
      </c>
      <c r="K304" s="15">
        <f t="shared" si="26"/>
        <v>0</v>
      </c>
      <c r="L304" s="15">
        <f t="shared" si="25"/>
        <v>-12294.306901404858</v>
      </c>
      <c r="M304" s="15">
        <f>'Edistynyt vuokratuottolaskuri'!$C$6-K304-G304</f>
        <v>84294.306901404852</v>
      </c>
      <c r="N304" s="15">
        <f>$N$296+(('Edistynyt vuokratuottolaskuri'!$I$7+$N$296)*'Edistynyt vuokratuottolaskuri'!$C$9*(1-'Edistynyt vuokratuottolaskuri'!$C$41))</f>
        <v>0</v>
      </c>
      <c r="O304" s="15">
        <f>-'Edistynyt vuokratuottolaskuri'!$C$10*('Edistynyt vuokratuottolaskuri'!$I$7+N304-('Edistynyt vuokratuottolaskuri'!$I$17-(N304*Veroaste)))/12</f>
        <v>0</v>
      </c>
      <c r="P304" s="15">
        <f>P303+'Edistynyt vuokratuottolaskuri'!$I$19+N304+O304</f>
        <v>9262.0308399475507</v>
      </c>
      <c r="Q304" s="15">
        <f>IF(P303&gt;0,(P303*('Edistynyt vuokratuottolaskuri'!$F$7/12)),0)</f>
        <v>50.013571939924148</v>
      </c>
      <c r="R304" s="15"/>
      <c r="S304" s="15"/>
      <c r="T304" s="15"/>
      <c r="U304" s="15"/>
      <c r="V304" s="15"/>
      <c r="W304" s="15">
        <f>W303+'Edistynyt vuokratuottolaskuri'!$I$19+Q304+N304</f>
        <v>16664.03948705626</v>
      </c>
    </row>
    <row r="305" spans="1:23" x14ac:dyDescent="0.2">
      <c r="B305" s="2">
        <v>297</v>
      </c>
      <c r="C305" s="15">
        <f>C293+('Edistynyt vuokratuottolaskuri'!$C$52*C293)</f>
        <v>97769.567936957392</v>
      </c>
      <c r="D305" s="15">
        <f t="shared" si="24"/>
        <v>-12294.306901404858</v>
      </c>
      <c r="E305" s="15">
        <f>-PMT(('Edistynyt vuokratuottolaskuri'!$C$33/12),('Edistynyt vuokratuottolaskuri'!$C$34*12),('Edistynyt vuokratuottolaskuri'!$C$29),0,0)</f>
        <v>209.63805404269655</v>
      </c>
      <c r="F305" s="15">
        <f>E305-(D305*('Edistynyt vuokratuottolaskuri'!$C$33/12))</f>
        <v>230.12856554503799</v>
      </c>
      <c r="G305" s="15">
        <f>IF(Lyhennystapa="Annuiteetti",(D305-F305),IF(Lyhennystapa="Tasalyhennys",(D305-'Edistynyt vuokratuottolaskuri'!$C$38),IF(Lyhennystapa="Bullet",D304,"")))</f>
        <v>-12524.435466949895</v>
      </c>
      <c r="H305" s="15">
        <f t="shared" si="27"/>
        <v>0</v>
      </c>
      <c r="I305" s="15">
        <f>-PMT(('Edistynyt vuokratuottolaskuri'!$C$18/12),('Edistynyt vuokratuottolaskuri'!$C$19*12),('Edistynyt vuokratuottolaskuri'!$C$17),0,0)</f>
        <v>110.41614461107285</v>
      </c>
      <c r="J305" s="15">
        <f>I305-(H305*('Edistynyt vuokratuottolaskuri'!$C$18/12))</f>
        <v>110.41614461107285</v>
      </c>
      <c r="K305" s="15">
        <f t="shared" si="26"/>
        <v>0</v>
      </c>
      <c r="L305" s="15">
        <f t="shared" si="25"/>
        <v>-12524.435466949895</v>
      </c>
      <c r="M305" s="15">
        <f>'Edistynyt vuokratuottolaskuri'!$C$6-K305-G305</f>
        <v>84524.435466949901</v>
      </c>
      <c r="N305" s="15">
        <f>$N$296+(('Edistynyt vuokratuottolaskuri'!$I$7+$N$296)*'Edistynyt vuokratuottolaskuri'!$C$9*(1-'Edistynyt vuokratuottolaskuri'!$C$41))</f>
        <v>0</v>
      </c>
      <c r="O305" s="15">
        <f>-'Edistynyt vuokratuottolaskuri'!$C$10*('Edistynyt vuokratuottolaskuri'!$I$7+N305-('Edistynyt vuokratuottolaskuri'!$I$17-(N305*Veroaste)))/12</f>
        <v>0</v>
      </c>
      <c r="P305" s="15">
        <f>P304+'Edistynyt vuokratuottolaskuri'!$I$19+N305+O305</f>
        <v>9293.3214846771025</v>
      </c>
      <c r="Q305" s="15">
        <f>IF(P304&gt;0,(P304*('Edistynyt vuokratuottolaskuri'!$F$7/12)),0)</f>
        <v>50.183109471923885</v>
      </c>
      <c r="R305" s="15"/>
      <c r="S305" s="15"/>
      <c r="T305" s="15"/>
      <c r="U305" s="15"/>
      <c r="V305" s="15"/>
      <c r="W305" s="15">
        <f>W304+'Edistynyt vuokratuottolaskuri'!$I$19+Q305+N305</f>
        <v>16745.513241257737</v>
      </c>
    </row>
    <row r="306" spans="1:23" x14ac:dyDescent="0.2">
      <c r="B306" s="2">
        <v>298</v>
      </c>
      <c r="C306" s="15">
        <f>C294+('Edistynyt vuokratuottolaskuri'!$C$52*C294)</f>
        <v>97769.567936957392</v>
      </c>
      <c r="D306" s="15">
        <f t="shared" si="24"/>
        <v>-12524.435466949895</v>
      </c>
      <c r="E306" s="15">
        <f>-PMT(('Edistynyt vuokratuottolaskuri'!$C$33/12),('Edistynyt vuokratuottolaskuri'!$C$34*12),('Edistynyt vuokratuottolaskuri'!$C$29),0,0)</f>
        <v>209.63805404269655</v>
      </c>
      <c r="F306" s="15">
        <f>E306-(D306*('Edistynyt vuokratuottolaskuri'!$C$33/12))</f>
        <v>230.51211315427972</v>
      </c>
      <c r="G306" s="15">
        <f>IF(Lyhennystapa="Annuiteetti",(D306-F306),IF(Lyhennystapa="Tasalyhennys",(D306-'Edistynyt vuokratuottolaskuri'!$C$38),IF(Lyhennystapa="Bullet",D305,"")))</f>
        <v>-12754.947580104175</v>
      </c>
      <c r="H306" s="15">
        <f t="shared" si="27"/>
        <v>0</v>
      </c>
      <c r="I306" s="15">
        <f>-PMT(('Edistynyt vuokratuottolaskuri'!$C$18/12),('Edistynyt vuokratuottolaskuri'!$C$19*12),('Edistynyt vuokratuottolaskuri'!$C$17),0,0)</f>
        <v>110.41614461107285</v>
      </c>
      <c r="J306" s="15">
        <f>I306-(H306*('Edistynyt vuokratuottolaskuri'!$C$18/12))</f>
        <v>110.41614461107285</v>
      </c>
      <c r="K306" s="15">
        <f t="shared" si="26"/>
        <v>0</v>
      </c>
      <c r="L306" s="15">
        <f t="shared" si="25"/>
        <v>-12754.947580104175</v>
      </c>
      <c r="M306" s="15">
        <f>'Edistynyt vuokratuottolaskuri'!$C$6-K306-G306</f>
        <v>84754.94758010417</v>
      </c>
      <c r="N306" s="15">
        <f>$N$296+(('Edistynyt vuokratuottolaskuri'!$I$7+$N$296)*'Edistynyt vuokratuottolaskuri'!$C$9*(1-'Edistynyt vuokratuottolaskuri'!$C$41))</f>
        <v>0</v>
      </c>
      <c r="O306" s="15">
        <f>-'Edistynyt vuokratuottolaskuri'!$C$10*('Edistynyt vuokratuottolaskuri'!$I$7+N306-('Edistynyt vuokratuottolaskuri'!$I$17-(N306*Veroaste)))/12</f>
        <v>0</v>
      </c>
      <c r="P306" s="15">
        <f>P305+'Edistynyt vuokratuottolaskuri'!$I$19+N306+O306</f>
        <v>9324.6121294066543</v>
      </c>
      <c r="Q306" s="15">
        <f>IF(P305&gt;0,(P305*('Edistynyt vuokratuottolaskuri'!$F$7/12)),0)</f>
        <v>50.352647003923622</v>
      </c>
      <c r="R306" s="15"/>
      <c r="S306" s="15"/>
      <c r="T306" s="15"/>
      <c r="U306" s="15"/>
      <c r="V306" s="15"/>
      <c r="W306" s="15">
        <f>W305+'Edistynyt vuokratuottolaskuri'!$I$19+Q306+N306</f>
        <v>16827.156532991215</v>
      </c>
    </row>
    <row r="307" spans="1:23" x14ac:dyDescent="0.2">
      <c r="B307" s="2">
        <v>299</v>
      </c>
      <c r="C307" s="15">
        <f>C295+('Edistynyt vuokratuottolaskuri'!$C$52*C295)</f>
        <v>97769.567936957392</v>
      </c>
      <c r="D307" s="15">
        <f t="shared" si="24"/>
        <v>-12754.947580104175</v>
      </c>
      <c r="E307" s="15">
        <f>-PMT(('Edistynyt vuokratuottolaskuri'!$C$33/12),('Edistynyt vuokratuottolaskuri'!$C$34*12),('Edistynyt vuokratuottolaskuri'!$C$29),0,0)</f>
        <v>209.63805404269655</v>
      </c>
      <c r="F307" s="15">
        <f>E307-(D307*('Edistynyt vuokratuottolaskuri'!$C$33/12))</f>
        <v>230.89630000953684</v>
      </c>
      <c r="G307" s="15">
        <f>IF(Lyhennystapa="Annuiteetti",(D307-F307),IF(Lyhennystapa="Tasalyhennys",(D307-'Edistynyt vuokratuottolaskuri'!$C$38),IF(Lyhennystapa="Bullet",D306,"")))</f>
        <v>-12985.843880113713</v>
      </c>
      <c r="H307" s="15">
        <f t="shared" si="27"/>
        <v>0</v>
      </c>
      <c r="I307" s="15">
        <f>-PMT(('Edistynyt vuokratuottolaskuri'!$C$18/12),('Edistynyt vuokratuottolaskuri'!$C$19*12),('Edistynyt vuokratuottolaskuri'!$C$17),0,0)</f>
        <v>110.41614461107285</v>
      </c>
      <c r="J307" s="15">
        <f>I307-(H307*('Edistynyt vuokratuottolaskuri'!$C$18/12))</f>
        <v>110.41614461107285</v>
      </c>
      <c r="K307" s="15">
        <f t="shared" si="26"/>
        <v>0</v>
      </c>
      <c r="L307" s="15">
        <f t="shared" si="25"/>
        <v>-12985.843880113713</v>
      </c>
      <c r="M307" s="15">
        <f>'Edistynyt vuokratuottolaskuri'!$C$6-K307-G307</f>
        <v>84985.843880113709</v>
      </c>
      <c r="N307" s="15">
        <f>$N$296+(('Edistynyt vuokratuottolaskuri'!$I$7+$N$296)*'Edistynyt vuokratuottolaskuri'!$C$9*(1-'Edistynyt vuokratuottolaskuri'!$C$41))</f>
        <v>0</v>
      </c>
      <c r="O307" s="15">
        <f>-'Edistynyt vuokratuottolaskuri'!$C$10*('Edistynyt vuokratuottolaskuri'!$I$7+N307-('Edistynyt vuokratuottolaskuri'!$I$17-(N307*Veroaste)))/12</f>
        <v>0</v>
      </c>
      <c r="P307" s="15">
        <f>P306+'Edistynyt vuokratuottolaskuri'!$I$19+N307+O307</f>
        <v>9355.9027741362061</v>
      </c>
      <c r="Q307" s="15">
        <f>IF(P306&gt;0,(P306*('Edistynyt vuokratuottolaskuri'!$F$7/12)),0)</f>
        <v>50.522184535923365</v>
      </c>
      <c r="R307" s="15"/>
      <c r="S307" s="15"/>
      <c r="T307" s="15"/>
      <c r="U307" s="15"/>
      <c r="V307" s="15"/>
      <c r="W307" s="15">
        <f>W306+'Edistynyt vuokratuottolaskuri'!$I$19+Q307+N307</f>
        <v>16908.969362256692</v>
      </c>
    </row>
    <row r="308" spans="1:23" x14ac:dyDescent="0.2">
      <c r="B308" s="2">
        <v>300</v>
      </c>
      <c r="C308" s="15">
        <f>C296+('Edistynyt vuokratuottolaskuri'!$C$52*C296)</f>
        <v>97769.567936957392</v>
      </c>
      <c r="D308" s="15">
        <f t="shared" si="24"/>
        <v>-12985.843880113713</v>
      </c>
      <c r="E308" s="15">
        <f>-PMT(('Edistynyt vuokratuottolaskuri'!$C$33/12),('Edistynyt vuokratuottolaskuri'!$C$34*12),('Edistynyt vuokratuottolaskuri'!$C$29),0,0)</f>
        <v>209.63805404269655</v>
      </c>
      <c r="F308" s="15">
        <f>E308-(D308*('Edistynyt vuokratuottolaskuri'!$C$33/12))</f>
        <v>231.2811271762194</v>
      </c>
      <c r="G308" s="15">
        <f>IF(Lyhennystapa="Annuiteetti",(D308-F308),IF(Lyhennystapa="Tasalyhennys",(D308-'Edistynyt vuokratuottolaskuri'!$C$38),IF(Lyhennystapa="Bullet",D307,"")))</f>
        <v>-13217.125007289933</v>
      </c>
      <c r="H308" s="15">
        <f t="shared" si="27"/>
        <v>0</v>
      </c>
      <c r="I308" s="15">
        <f>-PMT(('Edistynyt vuokratuottolaskuri'!$C$18/12),('Edistynyt vuokratuottolaskuri'!$C$19*12),('Edistynyt vuokratuottolaskuri'!$C$17),0,0)</f>
        <v>110.41614461107285</v>
      </c>
      <c r="J308" s="15">
        <f>I308-(H308*('Edistynyt vuokratuottolaskuri'!$C$18/12))</f>
        <v>110.41614461107285</v>
      </c>
      <c r="K308" s="15">
        <f t="shared" si="26"/>
        <v>0</v>
      </c>
      <c r="L308" s="15">
        <f t="shared" si="25"/>
        <v>-13217.125007289933</v>
      </c>
      <c r="M308" s="15">
        <f>'Edistynyt vuokratuottolaskuri'!$C$6-K308-G308</f>
        <v>85217.125007289927</v>
      </c>
      <c r="N308" s="15">
        <f>$N$296+(('Edistynyt vuokratuottolaskuri'!$I$7+$N$296)*'Edistynyt vuokratuottolaskuri'!$C$9*(1-'Edistynyt vuokratuottolaskuri'!$C$41))</f>
        <v>0</v>
      </c>
      <c r="O308" s="15">
        <f>-'Edistynyt vuokratuottolaskuri'!$C$10*('Edistynyt vuokratuottolaskuri'!$I$7+N308-('Edistynyt vuokratuottolaskuri'!$I$17-(N308*Veroaste)))/12</f>
        <v>0</v>
      </c>
      <c r="P308" s="15">
        <f>P307+'Edistynyt vuokratuottolaskuri'!$I$19+N308+O308</f>
        <v>9387.1934188657578</v>
      </c>
      <c r="Q308" s="15">
        <f>IF(P307&gt;0,(P307*('Edistynyt vuokratuottolaskuri'!$F$7/12)),0)</f>
        <v>50.691722067923102</v>
      </c>
      <c r="R308" s="15"/>
      <c r="S308" s="15"/>
      <c r="T308" s="15"/>
      <c r="U308" s="15"/>
      <c r="V308" s="15"/>
      <c r="W308" s="15">
        <f>W307+'Edistynyt vuokratuottolaskuri'!$I$19+Q308+N308</f>
        <v>16990.95172905417</v>
      </c>
    </row>
    <row r="309" spans="1:23" x14ac:dyDescent="0.2">
      <c r="A309" s="2" t="s">
        <v>60</v>
      </c>
      <c r="B309" s="2">
        <v>301</v>
      </c>
      <c r="C309" s="15">
        <f>C297+('Edistynyt vuokratuottolaskuri'!$C$52*C297)</f>
        <v>98747.263616326964</v>
      </c>
      <c r="D309" s="15">
        <f t="shared" ref="D309:D363" si="28">G308</f>
        <v>-13217.125007289933</v>
      </c>
      <c r="E309" s="15">
        <f>-PMT(('Edistynyt vuokratuottolaskuri'!$C$33/12),('Edistynyt vuokratuottolaskuri'!$C$34*12),('Edistynyt vuokratuottolaskuri'!$C$29),0,0)</f>
        <v>209.63805404269655</v>
      </c>
      <c r="F309" s="15">
        <f>E309-(D309*('Edistynyt vuokratuottolaskuri'!$C$33/12))</f>
        <v>231.66659572151312</v>
      </c>
      <c r="G309" s="15">
        <f>IF(Lyhennystapa="Annuiteetti",(D309-F309),IF(Lyhennystapa="Tasalyhennys",(D309-'Edistynyt vuokratuottolaskuri'!$C$38),IF(Lyhennystapa="Bullet",D308,"")))</f>
        <v>-13448.791603011447</v>
      </c>
      <c r="H309" s="15">
        <f t="shared" si="27"/>
        <v>0</v>
      </c>
      <c r="I309" s="15">
        <f>-PMT(('Edistynyt vuokratuottolaskuri'!$C$18/12),('Edistynyt vuokratuottolaskuri'!$C$19*12),('Edistynyt vuokratuottolaskuri'!$C$17),0,0)</f>
        <v>110.41614461107285</v>
      </c>
      <c r="J309" s="15">
        <f>I309-(H309*('Edistynyt vuokratuottolaskuri'!$C$18/12))</f>
        <v>110.41614461107285</v>
      </c>
      <c r="K309" s="15">
        <f t="shared" si="26"/>
        <v>0</v>
      </c>
      <c r="L309" s="15">
        <f t="shared" si="25"/>
        <v>-13448.791603011447</v>
      </c>
      <c r="M309" s="15">
        <f>'Edistynyt vuokratuottolaskuri'!$C$6-K309-G309</f>
        <v>85448.791603011443</v>
      </c>
      <c r="N309" s="15">
        <f>$N$308+(('Edistynyt vuokratuottolaskuri'!$I$7+$N$308)*'Edistynyt vuokratuottolaskuri'!$C$9*(1-'Edistynyt vuokratuottolaskuri'!$C$41))</f>
        <v>0</v>
      </c>
      <c r="O309" s="15">
        <f>-'Edistynyt vuokratuottolaskuri'!$C$10*('Edistynyt vuokratuottolaskuri'!$I$7+N309-('Edistynyt vuokratuottolaskuri'!$I$17-(N309*Veroaste)))/12</f>
        <v>0</v>
      </c>
      <c r="P309" s="15">
        <f>P308+'Edistynyt vuokratuottolaskuri'!$I$19+N309+O309</f>
        <v>9418.4840635953096</v>
      </c>
      <c r="Q309" s="15">
        <f>IF(P308&gt;0,(P308*('Edistynyt vuokratuottolaskuri'!$F$7/12)),0)</f>
        <v>50.861259599922839</v>
      </c>
      <c r="R309" s="15">
        <f>P308</f>
        <v>9387.1934188657578</v>
      </c>
      <c r="S309" s="15">
        <f>(IF(C309&gt;=$C$9,C309,$C$9))-L308-'Edistynyt vuokratuottolaskuri'!$C$28</f>
        <v>91964.388623616891</v>
      </c>
      <c r="T309" s="15">
        <f>R309+S309</f>
        <v>101351.58204248265</v>
      </c>
      <c r="U309" s="15">
        <f>(R297+(S297*'Edistynyt vuokratuottolaskuri'!$C$42)+U297)*0.1+U297</f>
        <v>237140.35509028265</v>
      </c>
      <c r="V309" s="15">
        <f>T309+U309</f>
        <v>338491.93713276531</v>
      </c>
      <c r="W309" s="15">
        <f>W308+'Edistynyt vuokratuottolaskuri'!$I$19+Q309+N309</f>
        <v>17073.103633383646</v>
      </c>
    </row>
    <row r="310" spans="1:23" x14ac:dyDescent="0.2">
      <c r="B310" s="2">
        <v>302</v>
      </c>
      <c r="C310" s="15">
        <f>C298+('Edistynyt vuokratuottolaskuri'!$C$52*C298)</f>
        <v>98747.263616326964</v>
      </c>
      <c r="D310" s="15">
        <f t="shared" si="28"/>
        <v>-13448.791603011447</v>
      </c>
      <c r="E310" s="15">
        <f>-PMT(('Edistynyt vuokratuottolaskuri'!$C$33/12),('Edistynyt vuokratuottolaskuri'!$C$34*12),('Edistynyt vuokratuottolaskuri'!$C$29),0,0)</f>
        <v>209.63805404269655</v>
      </c>
      <c r="F310" s="15">
        <f>E310-(D310*('Edistynyt vuokratuottolaskuri'!$C$33/12))</f>
        <v>232.05270671438231</v>
      </c>
      <c r="G310" s="15">
        <f>IF(Lyhennystapa="Annuiteetti",(D310-F310),IF(Lyhennystapa="Tasalyhennys",(D310-'Edistynyt vuokratuottolaskuri'!$C$38),IF(Lyhennystapa="Bullet",D309,"")))</f>
        <v>-13680.84430972583</v>
      </c>
      <c r="H310" s="15">
        <f t="shared" si="27"/>
        <v>0</v>
      </c>
      <c r="I310" s="15">
        <f>-PMT(('Edistynyt vuokratuottolaskuri'!$C$18/12),('Edistynyt vuokratuottolaskuri'!$C$19*12),('Edistynyt vuokratuottolaskuri'!$C$17),0,0)</f>
        <v>110.41614461107285</v>
      </c>
      <c r="J310" s="15">
        <f>I310-(H310*('Edistynyt vuokratuottolaskuri'!$C$18/12))</f>
        <v>110.41614461107285</v>
      </c>
      <c r="K310" s="15">
        <f t="shared" si="26"/>
        <v>0</v>
      </c>
      <c r="L310" s="15">
        <f t="shared" si="25"/>
        <v>-13680.84430972583</v>
      </c>
      <c r="M310" s="15">
        <f>'Edistynyt vuokratuottolaskuri'!$C$6-K310-G310</f>
        <v>85680.844309725828</v>
      </c>
      <c r="N310" s="15">
        <f>$N$308+(('Edistynyt vuokratuottolaskuri'!$I$7+$N$308)*'Edistynyt vuokratuottolaskuri'!$C$9*(1-'Edistynyt vuokratuottolaskuri'!$C$41))</f>
        <v>0</v>
      </c>
      <c r="O310" s="15">
        <f>-'Edistynyt vuokratuottolaskuri'!$C$10*('Edistynyt vuokratuottolaskuri'!$I$7+N310-('Edistynyt vuokratuottolaskuri'!$I$17-(N310*Veroaste)))/12</f>
        <v>0</v>
      </c>
      <c r="P310" s="15">
        <f>P309+'Edistynyt vuokratuottolaskuri'!$I$19+N310+O310</f>
        <v>9449.7747083248614</v>
      </c>
      <c r="Q310" s="15">
        <f>IF(P309&gt;0,(P309*('Edistynyt vuokratuottolaskuri'!$F$7/12)),0)</f>
        <v>51.030797131922583</v>
      </c>
      <c r="R310" s="15"/>
      <c r="S310" s="15"/>
      <c r="T310" s="15"/>
      <c r="U310" s="15"/>
      <c r="V310" s="15"/>
      <c r="W310" s="15">
        <f>W309+'Edistynyt vuokratuottolaskuri'!$I$19+Q310+N310</f>
        <v>17155.425075245123</v>
      </c>
    </row>
    <row r="311" spans="1:23" x14ac:dyDescent="0.2">
      <c r="B311" s="2">
        <v>303</v>
      </c>
      <c r="C311" s="15">
        <f>C299+('Edistynyt vuokratuottolaskuri'!$C$52*C299)</f>
        <v>98747.263616326964</v>
      </c>
      <c r="D311" s="15">
        <f t="shared" si="28"/>
        <v>-13680.84430972583</v>
      </c>
      <c r="E311" s="15">
        <f>-PMT(('Edistynyt vuokratuottolaskuri'!$C$33/12),('Edistynyt vuokratuottolaskuri'!$C$34*12),('Edistynyt vuokratuottolaskuri'!$C$29),0,0)</f>
        <v>209.63805404269655</v>
      </c>
      <c r="F311" s="15">
        <f>E311-(D311*('Edistynyt vuokratuottolaskuri'!$C$33/12))</f>
        <v>232.43946122557293</v>
      </c>
      <c r="G311" s="15">
        <f>IF(Lyhennystapa="Annuiteetti",(D311-F311),IF(Lyhennystapa="Tasalyhennys",(D311-'Edistynyt vuokratuottolaskuri'!$C$38),IF(Lyhennystapa="Bullet",D310,"")))</f>
        <v>-13913.283770951402</v>
      </c>
      <c r="H311" s="15">
        <f t="shared" si="27"/>
        <v>0</v>
      </c>
      <c r="I311" s="15">
        <f>-PMT(('Edistynyt vuokratuottolaskuri'!$C$18/12),('Edistynyt vuokratuottolaskuri'!$C$19*12),('Edistynyt vuokratuottolaskuri'!$C$17),0,0)</f>
        <v>110.41614461107285</v>
      </c>
      <c r="J311" s="15">
        <f>I311-(H311*('Edistynyt vuokratuottolaskuri'!$C$18/12))</f>
        <v>110.41614461107285</v>
      </c>
      <c r="K311" s="15">
        <f t="shared" si="26"/>
        <v>0</v>
      </c>
      <c r="L311" s="15">
        <f t="shared" si="25"/>
        <v>-13913.283770951402</v>
      </c>
      <c r="M311" s="15">
        <f>'Edistynyt vuokratuottolaskuri'!$C$6-K311-G311</f>
        <v>85913.283770951399</v>
      </c>
      <c r="N311" s="15">
        <f>$N$308+(('Edistynyt vuokratuottolaskuri'!$I$7+$N$308)*'Edistynyt vuokratuottolaskuri'!$C$9*(1-'Edistynyt vuokratuottolaskuri'!$C$41))</f>
        <v>0</v>
      </c>
      <c r="O311" s="15">
        <f>-'Edistynyt vuokratuottolaskuri'!$C$10*('Edistynyt vuokratuottolaskuri'!$I$7+N311-('Edistynyt vuokratuottolaskuri'!$I$17-(N311*Veroaste)))/12</f>
        <v>0</v>
      </c>
      <c r="P311" s="15">
        <f>P310+'Edistynyt vuokratuottolaskuri'!$I$19+N311+O311</f>
        <v>9481.0653530544132</v>
      </c>
      <c r="Q311" s="15">
        <f>IF(P310&gt;0,(P310*('Edistynyt vuokratuottolaskuri'!$F$7/12)),0)</f>
        <v>51.20033466392232</v>
      </c>
      <c r="R311" s="15"/>
      <c r="S311" s="15"/>
      <c r="T311" s="15"/>
      <c r="U311" s="15"/>
      <c r="V311" s="15"/>
      <c r="W311" s="15">
        <f>W310+'Edistynyt vuokratuottolaskuri'!$I$19+Q311+N311</f>
        <v>17237.916054638597</v>
      </c>
    </row>
    <row r="312" spans="1:23" x14ac:dyDescent="0.2">
      <c r="B312" s="2">
        <v>304</v>
      </c>
      <c r="C312" s="15">
        <f>C300+('Edistynyt vuokratuottolaskuri'!$C$52*C300)</f>
        <v>98747.263616326964</v>
      </c>
      <c r="D312" s="15">
        <f t="shared" si="28"/>
        <v>-13913.283770951402</v>
      </c>
      <c r="E312" s="15">
        <f>-PMT(('Edistynyt vuokratuottolaskuri'!$C$33/12),('Edistynyt vuokratuottolaskuri'!$C$34*12),('Edistynyt vuokratuottolaskuri'!$C$29),0,0)</f>
        <v>209.63805404269655</v>
      </c>
      <c r="F312" s="15">
        <f>E312-(D312*('Edistynyt vuokratuottolaskuri'!$C$33/12))</f>
        <v>232.82686032761555</v>
      </c>
      <c r="G312" s="15">
        <f>IF(Lyhennystapa="Annuiteetti",(D312-F312),IF(Lyhennystapa="Tasalyhennys",(D312-'Edistynyt vuokratuottolaskuri'!$C$38),IF(Lyhennystapa="Bullet",D311,"")))</f>
        <v>-14146.110631279018</v>
      </c>
      <c r="H312" s="15">
        <f t="shared" si="27"/>
        <v>0</v>
      </c>
      <c r="I312" s="15">
        <f>-PMT(('Edistynyt vuokratuottolaskuri'!$C$18/12),('Edistynyt vuokratuottolaskuri'!$C$19*12),('Edistynyt vuokratuottolaskuri'!$C$17),0,0)</f>
        <v>110.41614461107285</v>
      </c>
      <c r="J312" s="15">
        <f>I312-(H312*('Edistynyt vuokratuottolaskuri'!$C$18/12))</f>
        <v>110.41614461107285</v>
      </c>
      <c r="K312" s="15">
        <f t="shared" si="26"/>
        <v>0</v>
      </c>
      <c r="L312" s="15">
        <f t="shared" si="25"/>
        <v>-14146.110631279018</v>
      </c>
      <c r="M312" s="15">
        <f>'Edistynyt vuokratuottolaskuri'!$C$6-K312-G312</f>
        <v>86146.110631279022</v>
      </c>
      <c r="N312" s="15">
        <f>$N$308+(('Edistynyt vuokratuottolaskuri'!$I$7+$N$308)*'Edistynyt vuokratuottolaskuri'!$C$9*(1-'Edistynyt vuokratuottolaskuri'!$C$41))</f>
        <v>0</v>
      </c>
      <c r="O312" s="15">
        <f>-'Edistynyt vuokratuottolaskuri'!$C$10*('Edistynyt vuokratuottolaskuri'!$I$7+N312-('Edistynyt vuokratuottolaskuri'!$I$17-(N312*Veroaste)))/12</f>
        <v>0</v>
      </c>
      <c r="P312" s="15">
        <f>P311+'Edistynyt vuokratuottolaskuri'!$I$19+N312+O312</f>
        <v>9512.355997783965</v>
      </c>
      <c r="Q312" s="15">
        <f>IF(P311&gt;0,(P311*('Edistynyt vuokratuottolaskuri'!$F$7/12)),0)</f>
        <v>51.369872195922056</v>
      </c>
      <c r="R312" s="15"/>
      <c r="S312" s="15"/>
      <c r="T312" s="15"/>
      <c r="U312" s="15"/>
      <c r="V312" s="15"/>
      <c r="W312" s="15">
        <f>W311+'Edistynyt vuokratuottolaskuri'!$I$19+Q312+N312</f>
        <v>17320.576571564074</v>
      </c>
    </row>
    <row r="313" spans="1:23" x14ac:dyDescent="0.2">
      <c r="B313" s="2">
        <v>305</v>
      </c>
      <c r="C313" s="15">
        <f>C301+('Edistynyt vuokratuottolaskuri'!$C$52*C301)</f>
        <v>98747.263616326964</v>
      </c>
      <c r="D313" s="15">
        <f t="shared" si="28"/>
        <v>-14146.110631279018</v>
      </c>
      <c r="E313" s="15">
        <f>-PMT(('Edistynyt vuokratuottolaskuri'!$C$33/12),('Edistynyt vuokratuottolaskuri'!$C$34*12),('Edistynyt vuokratuottolaskuri'!$C$29),0,0)</f>
        <v>209.63805404269655</v>
      </c>
      <c r="F313" s="15">
        <f>E313-(D313*('Edistynyt vuokratuottolaskuri'!$C$33/12))</f>
        <v>233.21490509482825</v>
      </c>
      <c r="G313" s="15">
        <f>IF(Lyhennystapa="Annuiteetti",(D313-F313),IF(Lyhennystapa="Tasalyhennys",(D313-'Edistynyt vuokratuottolaskuri'!$C$38),IF(Lyhennystapa="Bullet",D312,"")))</f>
        <v>-14379.325536373846</v>
      </c>
      <c r="H313" s="15">
        <f t="shared" si="27"/>
        <v>0</v>
      </c>
      <c r="I313" s="15">
        <f>-PMT(('Edistynyt vuokratuottolaskuri'!$C$18/12),('Edistynyt vuokratuottolaskuri'!$C$19*12),('Edistynyt vuokratuottolaskuri'!$C$17),0,0)</f>
        <v>110.41614461107285</v>
      </c>
      <c r="J313" s="15">
        <f>I313-(H313*('Edistynyt vuokratuottolaskuri'!$C$18/12))</f>
        <v>110.41614461107285</v>
      </c>
      <c r="K313" s="15">
        <f t="shared" si="26"/>
        <v>0</v>
      </c>
      <c r="L313" s="15">
        <f t="shared" si="25"/>
        <v>-14379.325536373846</v>
      </c>
      <c r="M313" s="15">
        <f>'Edistynyt vuokratuottolaskuri'!$C$6-K313-G313</f>
        <v>86379.325536373843</v>
      </c>
      <c r="N313" s="15">
        <f>$N$308+(('Edistynyt vuokratuottolaskuri'!$I$7+$N$308)*'Edistynyt vuokratuottolaskuri'!$C$9*(1-'Edistynyt vuokratuottolaskuri'!$C$41))</f>
        <v>0</v>
      </c>
      <c r="O313" s="15">
        <f>-'Edistynyt vuokratuottolaskuri'!$C$10*('Edistynyt vuokratuottolaskuri'!$I$7+N313-('Edistynyt vuokratuottolaskuri'!$I$17-(N313*Veroaste)))/12</f>
        <v>0</v>
      </c>
      <c r="P313" s="15">
        <f>P312+'Edistynyt vuokratuottolaskuri'!$I$19+N313+O313</f>
        <v>9543.6466425135168</v>
      </c>
      <c r="Q313" s="15">
        <f>IF(P312&gt;0,(P312*('Edistynyt vuokratuottolaskuri'!$F$7/12)),0)</f>
        <v>51.539409727921793</v>
      </c>
      <c r="R313" s="15"/>
      <c r="S313" s="15"/>
      <c r="T313" s="15"/>
      <c r="U313" s="15"/>
      <c r="V313" s="15"/>
      <c r="W313" s="15">
        <f>W312+'Edistynyt vuokratuottolaskuri'!$I$19+Q313+N313</f>
        <v>17403.406626021548</v>
      </c>
    </row>
    <row r="314" spans="1:23" x14ac:dyDescent="0.2">
      <c r="B314" s="2">
        <v>306</v>
      </c>
      <c r="C314" s="15">
        <f>C302+('Edistynyt vuokratuottolaskuri'!$C$52*C302)</f>
        <v>98747.263616326964</v>
      </c>
      <c r="D314" s="15">
        <f t="shared" si="28"/>
        <v>-14379.325536373846</v>
      </c>
      <c r="E314" s="15">
        <f>-PMT(('Edistynyt vuokratuottolaskuri'!$C$33/12),('Edistynyt vuokratuottolaskuri'!$C$34*12),('Edistynyt vuokratuottolaskuri'!$C$29),0,0)</f>
        <v>209.63805404269655</v>
      </c>
      <c r="F314" s="15">
        <f>E314-(D314*('Edistynyt vuokratuottolaskuri'!$C$33/12))</f>
        <v>233.60359660331963</v>
      </c>
      <c r="G314" s="15">
        <f>IF(Lyhennystapa="Annuiteetti",(D314-F314),IF(Lyhennystapa="Tasalyhennys",(D314-'Edistynyt vuokratuottolaskuri'!$C$38),IF(Lyhennystapa="Bullet",D313,"")))</f>
        <v>-14612.929132977166</v>
      </c>
      <c r="H314" s="15">
        <f t="shared" si="27"/>
        <v>0</v>
      </c>
      <c r="I314" s="15">
        <f>-PMT(('Edistynyt vuokratuottolaskuri'!$C$18/12),('Edistynyt vuokratuottolaskuri'!$C$19*12),('Edistynyt vuokratuottolaskuri'!$C$17),0,0)</f>
        <v>110.41614461107285</v>
      </c>
      <c r="J314" s="15">
        <f>I314-(H314*('Edistynyt vuokratuottolaskuri'!$C$18/12))</f>
        <v>110.41614461107285</v>
      </c>
      <c r="K314" s="15">
        <f t="shared" si="26"/>
        <v>0</v>
      </c>
      <c r="L314" s="15">
        <f t="shared" si="25"/>
        <v>-14612.929132977166</v>
      </c>
      <c r="M314" s="15">
        <f>'Edistynyt vuokratuottolaskuri'!$C$6-K314-G314</f>
        <v>86612.929132977166</v>
      </c>
      <c r="N314" s="15">
        <f>$N$308+(('Edistynyt vuokratuottolaskuri'!$I$7+$N$308)*'Edistynyt vuokratuottolaskuri'!$C$9*(1-'Edistynyt vuokratuottolaskuri'!$C$41))</f>
        <v>0</v>
      </c>
      <c r="O314" s="15">
        <f>-'Edistynyt vuokratuottolaskuri'!$C$10*('Edistynyt vuokratuottolaskuri'!$I$7+N314-('Edistynyt vuokratuottolaskuri'!$I$17-(N314*Veroaste)))/12</f>
        <v>0</v>
      </c>
      <c r="P314" s="15">
        <f>P313+'Edistynyt vuokratuottolaskuri'!$I$19+N314+O314</f>
        <v>9574.9372872430686</v>
      </c>
      <c r="Q314" s="15">
        <f>IF(P313&gt;0,(P313*('Edistynyt vuokratuottolaskuri'!$F$7/12)),0)</f>
        <v>51.708947259921537</v>
      </c>
      <c r="R314" s="15"/>
      <c r="S314" s="15"/>
      <c r="T314" s="15"/>
      <c r="U314" s="15"/>
      <c r="V314" s="15"/>
      <c r="W314" s="15">
        <f>W313+'Edistynyt vuokratuottolaskuri'!$I$19+Q314+N314</f>
        <v>17486.406218011023</v>
      </c>
    </row>
    <row r="315" spans="1:23" x14ac:dyDescent="0.2">
      <c r="B315" s="2">
        <v>307</v>
      </c>
      <c r="C315" s="15">
        <f>C303+('Edistynyt vuokratuottolaskuri'!$C$52*C303)</f>
        <v>98747.263616326964</v>
      </c>
      <c r="D315" s="15">
        <f t="shared" si="28"/>
        <v>-14612.929132977166</v>
      </c>
      <c r="E315" s="15">
        <f>-PMT(('Edistynyt vuokratuottolaskuri'!$C$33/12),('Edistynyt vuokratuottolaskuri'!$C$34*12),('Edistynyt vuokratuottolaskuri'!$C$29),0,0)</f>
        <v>209.63805404269655</v>
      </c>
      <c r="F315" s="15">
        <f>E315-(D315*('Edistynyt vuokratuottolaskuri'!$C$33/12))</f>
        <v>233.99293593099182</v>
      </c>
      <c r="G315" s="15">
        <f>IF(Lyhennystapa="Annuiteetti",(D315-F315),IF(Lyhennystapa="Tasalyhennys",(D315-'Edistynyt vuokratuottolaskuri'!$C$38),IF(Lyhennystapa="Bullet",D314,"")))</f>
        <v>-14846.922068908158</v>
      </c>
      <c r="H315" s="15">
        <f t="shared" si="27"/>
        <v>0</v>
      </c>
      <c r="I315" s="15">
        <f>-PMT(('Edistynyt vuokratuottolaskuri'!$C$18/12),('Edistynyt vuokratuottolaskuri'!$C$19*12),('Edistynyt vuokratuottolaskuri'!$C$17),0,0)</f>
        <v>110.41614461107285</v>
      </c>
      <c r="J315" s="15">
        <f>I315-(H315*('Edistynyt vuokratuottolaskuri'!$C$18/12))</f>
        <v>110.41614461107285</v>
      </c>
      <c r="K315" s="15">
        <f t="shared" si="26"/>
        <v>0</v>
      </c>
      <c r="L315" s="15">
        <f t="shared" si="25"/>
        <v>-14846.922068908158</v>
      </c>
      <c r="M315" s="15">
        <f>'Edistynyt vuokratuottolaskuri'!$C$6-K315-G315</f>
        <v>86846.922068908156</v>
      </c>
      <c r="N315" s="15">
        <f>$N$308+(('Edistynyt vuokratuottolaskuri'!$I$7+$N$308)*'Edistynyt vuokratuottolaskuri'!$C$9*(1-'Edistynyt vuokratuottolaskuri'!$C$41))</f>
        <v>0</v>
      </c>
      <c r="O315" s="15">
        <f>-'Edistynyt vuokratuottolaskuri'!$C$10*('Edistynyt vuokratuottolaskuri'!$I$7+N315-('Edistynyt vuokratuottolaskuri'!$I$17-(N315*Veroaste)))/12</f>
        <v>0</v>
      </c>
      <c r="P315" s="15">
        <f>P314+'Edistynyt vuokratuottolaskuri'!$I$19+N315+O315</f>
        <v>9606.2279319726204</v>
      </c>
      <c r="Q315" s="15">
        <f>IF(P314&gt;0,(P314*('Edistynyt vuokratuottolaskuri'!$F$7/12)),0)</f>
        <v>51.878484791921274</v>
      </c>
      <c r="R315" s="15"/>
      <c r="S315" s="15"/>
      <c r="T315" s="15"/>
      <c r="U315" s="15"/>
      <c r="V315" s="15"/>
      <c r="W315" s="15">
        <f>W314+'Edistynyt vuokratuottolaskuri'!$I$19+Q315+N315</f>
        <v>17569.575347532496</v>
      </c>
    </row>
    <row r="316" spans="1:23" x14ac:dyDescent="0.2">
      <c r="B316" s="2">
        <v>308</v>
      </c>
      <c r="C316" s="15">
        <f>C304+('Edistynyt vuokratuottolaskuri'!$C$52*C304)</f>
        <v>98747.263616326964</v>
      </c>
      <c r="D316" s="15">
        <f t="shared" si="28"/>
        <v>-14846.922068908158</v>
      </c>
      <c r="E316" s="15">
        <f>-PMT(('Edistynyt vuokratuottolaskuri'!$C$33/12),('Edistynyt vuokratuottolaskuri'!$C$34*12),('Edistynyt vuokratuottolaskuri'!$C$29),0,0)</f>
        <v>209.63805404269655</v>
      </c>
      <c r="F316" s="15">
        <f>E316-(D316*('Edistynyt vuokratuottolaskuri'!$C$33/12))</f>
        <v>234.38292415754347</v>
      </c>
      <c r="G316" s="15">
        <f>IF(Lyhennystapa="Annuiteetti",(D316-F316),IF(Lyhennystapa="Tasalyhennys",(D316-'Edistynyt vuokratuottolaskuri'!$C$38),IF(Lyhennystapa="Bullet",D315,"")))</f>
        <v>-15081.304993065702</v>
      </c>
      <c r="H316" s="15">
        <f t="shared" si="27"/>
        <v>0</v>
      </c>
      <c r="I316" s="15">
        <f>-PMT(('Edistynyt vuokratuottolaskuri'!$C$18/12),('Edistynyt vuokratuottolaskuri'!$C$19*12),('Edistynyt vuokratuottolaskuri'!$C$17),0,0)</f>
        <v>110.41614461107285</v>
      </c>
      <c r="J316" s="15">
        <f>I316-(H316*('Edistynyt vuokratuottolaskuri'!$C$18/12))</f>
        <v>110.41614461107285</v>
      </c>
      <c r="K316" s="15">
        <f t="shared" si="26"/>
        <v>0</v>
      </c>
      <c r="L316" s="15">
        <f t="shared" si="25"/>
        <v>-15081.304993065702</v>
      </c>
      <c r="M316" s="15">
        <f>'Edistynyt vuokratuottolaskuri'!$C$6-K316-G316</f>
        <v>87081.3049930657</v>
      </c>
      <c r="N316" s="15">
        <f>$N$308+(('Edistynyt vuokratuottolaskuri'!$I$7+$N$308)*'Edistynyt vuokratuottolaskuri'!$C$9*(1-'Edistynyt vuokratuottolaskuri'!$C$41))</f>
        <v>0</v>
      </c>
      <c r="O316" s="15">
        <f>-'Edistynyt vuokratuottolaskuri'!$C$10*('Edistynyt vuokratuottolaskuri'!$I$7+N316-('Edistynyt vuokratuottolaskuri'!$I$17-(N316*Veroaste)))/12</f>
        <v>0</v>
      </c>
      <c r="P316" s="15">
        <f>P315+'Edistynyt vuokratuottolaskuri'!$I$19+N316+O316</f>
        <v>9637.5185767021721</v>
      </c>
      <c r="Q316" s="15">
        <f>IF(P315&gt;0,(P315*('Edistynyt vuokratuottolaskuri'!$F$7/12)),0)</f>
        <v>52.04802232392101</v>
      </c>
      <c r="R316" s="15"/>
      <c r="S316" s="15"/>
      <c r="T316" s="15"/>
      <c r="U316" s="15"/>
      <c r="V316" s="15"/>
      <c r="W316" s="15">
        <f>W315+'Edistynyt vuokratuottolaskuri'!$I$19+Q316+N316</f>
        <v>17652.914014585971</v>
      </c>
    </row>
    <row r="317" spans="1:23" x14ac:dyDescent="0.2">
      <c r="B317" s="2">
        <v>309</v>
      </c>
      <c r="C317" s="15">
        <f>C305+('Edistynyt vuokratuottolaskuri'!$C$52*C305)</f>
        <v>98747.263616326964</v>
      </c>
      <c r="D317" s="15">
        <f t="shared" si="28"/>
        <v>-15081.304993065702</v>
      </c>
      <c r="E317" s="15">
        <f>-PMT(('Edistynyt vuokratuottolaskuri'!$C$33/12),('Edistynyt vuokratuottolaskuri'!$C$34*12),('Edistynyt vuokratuottolaskuri'!$C$29),0,0)</f>
        <v>209.63805404269655</v>
      </c>
      <c r="F317" s="15">
        <f>E317-(D317*('Edistynyt vuokratuottolaskuri'!$C$33/12))</f>
        <v>234.77356236447272</v>
      </c>
      <c r="G317" s="15">
        <f>IF(Lyhennystapa="Annuiteetti",(D317-F317),IF(Lyhennystapa="Tasalyhennys",(D317-'Edistynyt vuokratuottolaskuri'!$C$38),IF(Lyhennystapa="Bullet",D316,"")))</f>
        <v>-15316.078555430175</v>
      </c>
      <c r="H317" s="15">
        <f t="shared" si="27"/>
        <v>0</v>
      </c>
      <c r="I317" s="15">
        <f>-PMT(('Edistynyt vuokratuottolaskuri'!$C$18/12),('Edistynyt vuokratuottolaskuri'!$C$19*12),('Edistynyt vuokratuottolaskuri'!$C$17),0,0)</f>
        <v>110.41614461107285</v>
      </c>
      <c r="J317" s="15">
        <f>I317-(H317*('Edistynyt vuokratuottolaskuri'!$C$18/12))</f>
        <v>110.41614461107285</v>
      </c>
      <c r="K317" s="15">
        <f t="shared" si="26"/>
        <v>0</v>
      </c>
      <c r="L317" s="15">
        <f t="shared" si="25"/>
        <v>-15316.078555430175</v>
      </c>
      <c r="M317" s="15">
        <f>'Edistynyt vuokratuottolaskuri'!$C$6-K317-G317</f>
        <v>87316.078555430169</v>
      </c>
      <c r="N317" s="15">
        <f>$N$308+(('Edistynyt vuokratuottolaskuri'!$I$7+$N$308)*'Edistynyt vuokratuottolaskuri'!$C$9*(1-'Edistynyt vuokratuottolaskuri'!$C$41))</f>
        <v>0</v>
      </c>
      <c r="O317" s="15">
        <f>-'Edistynyt vuokratuottolaskuri'!$C$10*('Edistynyt vuokratuottolaskuri'!$I$7+N317-('Edistynyt vuokratuottolaskuri'!$I$17-(N317*Veroaste)))/12</f>
        <v>0</v>
      </c>
      <c r="P317" s="15">
        <f>P316+'Edistynyt vuokratuottolaskuri'!$I$19+N317+O317</f>
        <v>9668.8092214317239</v>
      </c>
      <c r="Q317" s="15">
        <f>IF(P316&gt;0,(P316*('Edistynyt vuokratuottolaskuri'!$F$7/12)),0)</f>
        <v>52.217559855920754</v>
      </c>
      <c r="R317" s="15"/>
      <c r="S317" s="15"/>
      <c r="T317" s="15"/>
      <c r="U317" s="15"/>
      <c r="V317" s="15"/>
      <c r="W317" s="15">
        <f>W316+'Edistynyt vuokratuottolaskuri'!$I$19+Q317+N317</f>
        <v>17736.422219171447</v>
      </c>
    </row>
    <row r="318" spans="1:23" x14ac:dyDescent="0.2">
      <c r="B318" s="2">
        <v>310</v>
      </c>
      <c r="C318" s="15">
        <f>C306+('Edistynyt vuokratuottolaskuri'!$C$52*C306)</f>
        <v>98747.263616326964</v>
      </c>
      <c r="D318" s="15">
        <f t="shared" si="28"/>
        <v>-15316.078555430175</v>
      </c>
      <c r="E318" s="15">
        <f>-PMT(('Edistynyt vuokratuottolaskuri'!$C$33/12),('Edistynyt vuokratuottolaskuri'!$C$34*12),('Edistynyt vuokratuottolaskuri'!$C$29),0,0)</f>
        <v>209.63805404269655</v>
      </c>
      <c r="F318" s="15">
        <f>E318-(D318*('Edistynyt vuokratuottolaskuri'!$C$33/12))</f>
        <v>235.16485163508017</v>
      </c>
      <c r="G318" s="15">
        <f>IF(Lyhennystapa="Annuiteetti",(D318-F318),IF(Lyhennystapa="Tasalyhennys",(D318-'Edistynyt vuokratuottolaskuri'!$C$38),IF(Lyhennystapa="Bullet",D317,"")))</f>
        <v>-15551.243407065254</v>
      </c>
      <c r="H318" s="15">
        <f t="shared" si="27"/>
        <v>0</v>
      </c>
      <c r="I318" s="15">
        <f>-PMT(('Edistynyt vuokratuottolaskuri'!$C$18/12),('Edistynyt vuokratuottolaskuri'!$C$19*12),('Edistynyt vuokratuottolaskuri'!$C$17),0,0)</f>
        <v>110.41614461107285</v>
      </c>
      <c r="J318" s="15">
        <f>I318-(H318*('Edistynyt vuokratuottolaskuri'!$C$18/12))</f>
        <v>110.41614461107285</v>
      </c>
      <c r="K318" s="15">
        <f t="shared" si="26"/>
        <v>0</v>
      </c>
      <c r="L318" s="15">
        <f t="shared" si="25"/>
        <v>-15551.243407065254</v>
      </c>
      <c r="M318" s="15">
        <f>'Edistynyt vuokratuottolaskuri'!$C$6-K318-G318</f>
        <v>87551.243407065253</v>
      </c>
      <c r="N318" s="15">
        <f>$N$308+(('Edistynyt vuokratuottolaskuri'!$I$7+$N$308)*'Edistynyt vuokratuottolaskuri'!$C$9*(1-'Edistynyt vuokratuottolaskuri'!$C$41))</f>
        <v>0</v>
      </c>
      <c r="O318" s="15">
        <f>-'Edistynyt vuokratuottolaskuri'!$C$10*('Edistynyt vuokratuottolaskuri'!$I$7+N318-('Edistynyt vuokratuottolaskuri'!$I$17-(N318*Veroaste)))/12</f>
        <v>0</v>
      </c>
      <c r="P318" s="15">
        <f>P317+'Edistynyt vuokratuottolaskuri'!$I$19+N318+O318</f>
        <v>9700.0998661612757</v>
      </c>
      <c r="Q318" s="15">
        <f>IF(P317&gt;0,(P317*('Edistynyt vuokratuottolaskuri'!$F$7/12)),0)</f>
        <v>52.387097387920491</v>
      </c>
      <c r="R318" s="15"/>
      <c r="S318" s="15"/>
      <c r="T318" s="15"/>
      <c r="U318" s="15"/>
      <c r="V318" s="15"/>
      <c r="W318" s="15">
        <f>W317+'Edistynyt vuokratuottolaskuri'!$I$19+Q318+N318</f>
        <v>17820.099961288921</v>
      </c>
    </row>
    <row r="319" spans="1:23" x14ac:dyDescent="0.2">
      <c r="B319" s="2">
        <v>311</v>
      </c>
      <c r="C319" s="15">
        <f>C307+('Edistynyt vuokratuottolaskuri'!$C$52*C307)</f>
        <v>98747.263616326964</v>
      </c>
      <c r="D319" s="15">
        <f t="shared" si="28"/>
        <v>-15551.243407065254</v>
      </c>
      <c r="E319" s="15">
        <f>-PMT(('Edistynyt vuokratuottolaskuri'!$C$33/12),('Edistynyt vuokratuottolaskuri'!$C$34*12),('Edistynyt vuokratuottolaskuri'!$C$29),0,0)</f>
        <v>209.63805404269655</v>
      </c>
      <c r="F319" s="15">
        <f>E319-(D319*('Edistynyt vuokratuottolaskuri'!$C$33/12))</f>
        <v>235.55679305447197</v>
      </c>
      <c r="G319" s="15">
        <f>IF(Lyhennystapa="Annuiteetti",(D319-F319),IF(Lyhennystapa="Tasalyhennys",(D319-'Edistynyt vuokratuottolaskuri'!$C$38),IF(Lyhennystapa="Bullet",D318,"")))</f>
        <v>-15786.800200119726</v>
      </c>
      <c r="H319" s="15">
        <f t="shared" si="27"/>
        <v>0</v>
      </c>
      <c r="I319" s="15">
        <f>-PMT(('Edistynyt vuokratuottolaskuri'!$C$18/12),('Edistynyt vuokratuottolaskuri'!$C$19*12),('Edistynyt vuokratuottolaskuri'!$C$17),0,0)</f>
        <v>110.41614461107285</v>
      </c>
      <c r="J319" s="15">
        <f>I319-(H319*('Edistynyt vuokratuottolaskuri'!$C$18/12))</f>
        <v>110.41614461107285</v>
      </c>
      <c r="K319" s="15">
        <f t="shared" si="26"/>
        <v>0</v>
      </c>
      <c r="L319" s="15">
        <f t="shared" si="25"/>
        <v>-15786.800200119726</v>
      </c>
      <c r="M319" s="15">
        <f>'Edistynyt vuokratuottolaskuri'!$C$6-K319-G319</f>
        <v>87786.800200119731</v>
      </c>
      <c r="N319" s="15">
        <f>$N$308+(('Edistynyt vuokratuottolaskuri'!$I$7+$N$308)*'Edistynyt vuokratuottolaskuri'!$C$9*(1-'Edistynyt vuokratuottolaskuri'!$C$41))</f>
        <v>0</v>
      </c>
      <c r="O319" s="15">
        <f>-'Edistynyt vuokratuottolaskuri'!$C$10*('Edistynyt vuokratuottolaskuri'!$I$7+N319-('Edistynyt vuokratuottolaskuri'!$I$17-(N319*Veroaste)))/12</f>
        <v>0</v>
      </c>
      <c r="P319" s="15">
        <f>P318+'Edistynyt vuokratuottolaskuri'!$I$19+N319+O319</f>
        <v>9731.3905108908275</v>
      </c>
      <c r="Q319" s="15">
        <f>IF(P318&gt;0,(P318*('Edistynyt vuokratuottolaskuri'!$F$7/12)),0)</f>
        <v>52.556634919920228</v>
      </c>
      <c r="R319" s="15"/>
      <c r="S319" s="15"/>
      <c r="T319" s="15"/>
      <c r="U319" s="15"/>
      <c r="V319" s="15"/>
      <c r="W319" s="15">
        <f>W318+'Edistynyt vuokratuottolaskuri'!$I$19+Q319+N319</f>
        <v>17903.947240938396</v>
      </c>
    </row>
    <row r="320" spans="1:23" x14ac:dyDescent="0.2">
      <c r="B320" s="2">
        <v>312</v>
      </c>
      <c r="C320" s="15">
        <f>C308+('Edistynyt vuokratuottolaskuri'!$C$52*C308)</f>
        <v>98747.263616326964</v>
      </c>
      <c r="D320" s="15">
        <f t="shared" si="28"/>
        <v>-15786.800200119726</v>
      </c>
      <c r="E320" s="15">
        <f>-PMT(('Edistynyt vuokratuottolaskuri'!$C$33/12),('Edistynyt vuokratuottolaskuri'!$C$34*12),('Edistynyt vuokratuottolaskuri'!$C$29),0,0)</f>
        <v>209.63805404269655</v>
      </c>
      <c r="F320" s="15">
        <f>E320-(D320*('Edistynyt vuokratuottolaskuri'!$C$33/12))</f>
        <v>235.94938770956276</v>
      </c>
      <c r="G320" s="15">
        <f>IF(Lyhennystapa="Annuiteetti",(D320-F320),IF(Lyhennystapa="Tasalyhennys",(D320-'Edistynyt vuokratuottolaskuri'!$C$38),IF(Lyhennystapa="Bullet",D319,"")))</f>
        <v>-16022.749587829288</v>
      </c>
      <c r="H320" s="15">
        <f t="shared" si="27"/>
        <v>0</v>
      </c>
      <c r="I320" s="15">
        <f>-PMT(('Edistynyt vuokratuottolaskuri'!$C$18/12),('Edistynyt vuokratuottolaskuri'!$C$19*12),('Edistynyt vuokratuottolaskuri'!$C$17),0,0)</f>
        <v>110.41614461107285</v>
      </c>
      <c r="J320" s="15">
        <f>I320-(H320*('Edistynyt vuokratuottolaskuri'!$C$18/12))</f>
        <v>110.41614461107285</v>
      </c>
      <c r="K320" s="15">
        <f t="shared" si="26"/>
        <v>0</v>
      </c>
      <c r="L320" s="15">
        <f t="shared" si="25"/>
        <v>-16022.749587829288</v>
      </c>
      <c r="M320" s="15">
        <f>'Edistynyt vuokratuottolaskuri'!$C$6-K320-G320</f>
        <v>88022.749587829283</v>
      </c>
      <c r="N320" s="15">
        <f>$N$308+(('Edistynyt vuokratuottolaskuri'!$I$7+$N$308)*'Edistynyt vuokratuottolaskuri'!$C$9*(1-'Edistynyt vuokratuottolaskuri'!$C$41))</f>
        <v>0</v>
      </c>
      <c r="O320" s="15">
        <f>-'Edistynyt vuokratuottolaskuri'!$C$10*('Edistynyt vuokratuottolaskuri'!$I$7+N320-('Edistynyt vuokratuottolaskuri'!$I$17-(N320*Veroaste)))/12</f>
        <v>0</v>
      </c>
      <c r="P320" s="15">
        <f>P319+'Edistynyt vuokratuottolaskuri'!$I$19+N320+O320</f>
        <v>9762.6811556203793</v>
      </c>
      <c r="Q320" s="15">
        <f>IF(P319&gt;0,(P319*('Edistynyt vuokratuottolaskuri'!$F$7/12)),0)</f>
        <v>52.726172451919965</v>
      </c>
      <c r="R320" s="15"/>
      <c r="S320" s="15"/>
      <c r="T320" s="15"/>
      <c r="U320" s="15"/>
      <c r="V320" s="15"/>
      <c r="W320" s="15">
        <f>W319+'Edistynyt vuokratuottolaskuri'!$I$19+Q320+N320</f>
        <v>17987.964058119869</v>
      </c>
    </row>
    <row r="321" spans="1:23" x14ac:dyDescent="0.2">
      <c r="A321" s="2" t="s">
        <v>61</v>
      </c>
      <c r="B321" s="2">
        <v>313</v>
      </c>
      <c r="C321" s="15">
        <f>C309+('Edistynyt vuokratuottolaskuri'!$C$52*C309)</f>
        <v>99734.736252490227</v>
      </c>
      <c r="D321" s="15">
        <f t="shared" si="28"/>
        <v>-16022.749587829288</v>
      </c>
      <c r="E321" s="15">
        <f>-PMT(('Edistynyt vuokratuottolaskuri'!$C$33/12),('Edistynyt vuokratuottolaskuri'!$C$34*12),('Edistynyt vuokratuottolaskuri'!$C$29),0,0)</f>
        <v>209.63805404269655</v>
      </c>
      <c r="F321" s="15">
        <f>E321-(D321*('Edistynyt vuokratuottolaskuri'!$C$33/12))</f>
        <v>236.34263668907869</v>
      </c>
      <c r="G321" s="15">
        <f>IF(Lyhennystapa="Annuiteetti",(D321-F321),IF(Lyhennystapa="Tasalyhennys",(D321-'Edistynyt vuokratuottolaskuri'!$C$38),IF(Lyhennystapa="Bullet",D320,"")))</f>
        <v>-16259.092224518366</v>
      </c>
      <c r="H321" s="15">
        <f t="shared" si="27"/>
        <v>0</v>
      </c>
      <c r="I321" s="15">
        <f>-PMT(('Edistynyt vuokratuottolaskuri'!$C$18/12),('Edistynyt vuokratuottolaskuri'!$C$19*12),('Edistynyt vuokratuottolaskuri'!$C$17),0,0)</f>
        <v>110.41614461107285</v>
      </c>
      <c r="J321" s="15">
        <f>I321-(H321*('Edistynyt vuokratuottolaskuri'!$C$18/12))</f>
        <v>110.41614461107285</v>
      </c>
      <c r="K321" s="15">
        <f t="shared" si="26"/>
        <v>0</v>
      </c>
      <c r="L321" s="15">
        <f t="shared" si="25"/>
        <v>-16259.092224518366</v>
      </c>
      <c r="M321" s="15">
        <f>'Edistynyt vuokratuottolaskuri'!$C$6-K321-G321</f>
        <v>88259.092224518361</v>
      </c>
      <c r="N321" s="15"/>
      <c r="O321" s="15">
        <f>-'Edistynyt vuokratuottolaskuri'!$C$10*('Edistynyt vuokratuottolaskuri'!$I$7+N321-('Edistynyt vuokratuottolaskuri'!$I$17-(N321*Veroaste)))/12</f>
        <v>0</v>
      </c>
      <c r="P321" s="15">
        <f>P320+'Edistynyt vuokratuottolaskuri'!$I$19+N321+O321</f>
        <v>9793.9718003499311</v>
      </c>
      <c r="Q321" s="15">
        <f>IF(P320&gt;0,(P320*('Edistynyt vuokratuottolaskuri'!$F$7/12)),0)</f>
        <v>52.895709983919708</v>
      </c>
      <c r="R321" s="15">
        <f>P320</f>
        <v>9762.6811556203793</v>
      </c>
      <c r="S321" s="15">
        <f>(IF(C321&gt;=$C$9,C321,$C$9))-L320-'Edistynyt vuokratuottolaskuri'!$C$28</f>
        <v>95757.48584031951</v>
      </c>
      <c r="T321" s="15">
        <f>R321+S321</f>
        <v>105520.16699593989</v>
      </c>
      <c r="U321" s="15">
        <f>(R309+(S309*'Edistynyt vuokratuottolaskuri'!$C$42)+U309)*0.1+U309</f>
        <v>268230.61714485066</v>
      </c>
      <c r="V321" s="15">
        <f>T321+U321</f>
        <v>373750.78414079058</v>
      </c>
      <c r="W321" s="15">
        <f>W320+'Edistynyt vuokratuottolaskuri'!$I$19+Q321+N321</f>
        <v>18072.150412833344</v>
      </c>
    </row>
    <row r="322" spans="1:23" x14ac:dyDescent="0.2">
      <c r="B322" s="2">
        <v>314</v>
      </c>
      <c r="C322" s="15">
        <f>C310+('Edistynyt vuokratuottolaskuri'!$C$52*C310)</f>
        <v>99734.736252490227</v>
      </c>
      <c r="D322" s="15">
        <f t="shared" si="28"/>
        <v>-16259.092224518366</v>
      </c>
      <c r="E322" s="15">
        <f>-PMT(('Edistynyt vuokratuottolaskuri'!$C$33/12),('Edistynyt vuokratuottolaskuri'!$C$34*12),('Edistynyt vuokratuottolaskuri'!$C$29),0,0)</f>
        <v>209.63805404269655</v>
      </c>
      <c r="F322" s="15">
        <f>E322-(D322*('Edistynyt vuokratuottolaskuri'!$C$33/12))</f>
        <v>236.7365410835605</v>
      </c>
      <c r="G322" s="15">
        <f>IF(Lyhennystapa="Annuiteetti",(D322-F322),IF(Lyhennystapa="Tasalyhennys",(D322-'Edistynyt vuokratuottolaskuri'!$C$38),IF(Lyhennystapa="Bullet",D321,"")))</f>
        <v>-16495.828765601927</v>
      </c>
      <c r="H322" s="15">
        <f t="shared" si="27"/>
        <v>0</v>
      </c>
      <c r="I322" s="15">
        <f>-PMT(('Edistynyt vuokratuottolaskuri'!$C$18/12),('Edistynyt vuokratuottolaskuri'!$C$19*12),('Edistynyt vuokratuottolaskuri'!$C$17),0,0)</f>
        <v>110.41614461107285</v>
      </c>
      <c r="J322" s="15">
        <f>I322-(H322*('Edistynyt vuokratuottolaskuri'!$C$18/12))</f>
        <v>110.41614461107285</v>
      </c>
      <c r="K322" s="15">
        <f t="shared" si="26"/>
        <v>0</v>
      </c>
      <c r="L322" s="15">
        <f t="shared" si="25"/>
        <v>-16495.828765601927</v>
      </c>
      <c r="M322" s="15">
        <f>'Edistynyt vuokratuottolaskuri'!$C$6-K322-G322</f>
        <v>88495.828765601924</v>
      </c>
      <c r="N322" s="15"/>
      <c r="O322" s="15">
        <f>-'Edistynyt vuokratuottolaskuri'!$C$10*('Edistynyt vuokratuottolaskuri'!$I$7+N322-('Edistynyt vuokratuottolaskuri'!$I$17-(N322*Veroaste)))/12</f>
        <v>0</v>
      </c>
      <c r="P322" s="15">
        <f>P321+'Edistynyt vuokratuottolaskuri'!$I$19+N322+O322</f>
        <v>9825.2624450794829</v>
      </c>
      <c r="Q322" s="15">
        <f>IF(P321&gt;0,(P321*('Edistynyt vuokratuottolaskuri'!$F$7/12)),0)</f>
        <v>53.065247515919445</v>
      </c>
      <c r="R322" s="15"/>
      <c r="S322" s="15"/>
      <c r="T322" s="15"/>
      <c r="U322" s="15"/>
      <c r="V322" s="15"/>
      <c r="W322" s="15">
        <f>W321+'Edistynyt vuokratuottolaskuri'!$I$19+Q322+N322</f>
        <v>18156.506305078816</v>
      </c>
    </row>
    <row r="323" spans="1:23" x14ac:dyDescent="0.2">
      <c r="B323" s="2">
        <v>315</v>
      </c>
      <c r="C323" s="15">
        <f>C311+('Edistynyt vuokratuottolaskuri'!$C$52*C311)</f>
        <v>99734.736252490227</v>
      </c>
      <c r="D323" s="15">
        <f t="shared" si="28"/>
        <v>-16495.828765601927</v>
      </c>
      <c r="E323" s="15">
        <f>-PMT(('Edistynyt vuokratuottolaskuri'!$C$33/12),('Edistynyt vuokratuottolaskuri'!$C$34*12),('Edistynyt vuokratuottolaskuri'!$C$29),0,0)</f>
        <v>209.63805404269655</v>
      </c>
      <c r="F323" s="15">
        <f>E323-(D323*('Edistynyt vuokratuottolaskuri'!$C$33/12))</f>
        <v>237.13110198536643</v>
      </c>
      <c r="G323" s="15">
        <f>IF(Lyhennystapa="Annuiteetti",(D323-F323),IF(Lyhennystapa="Tasalyhennys",(D323-'Edistynyt vuokratuottolaskuri'!$C$38),IF(Lyhennystapa="Bullet",D322,"")))</f>
        <v>-16732.959867587295</v>
      </c>
      <c r="H323" s="15">
        <f t="shared" si="27"/>
        <v>0</v>
      </c>
      <c r="I323" s="15">
        <f>-PMT(('Edistynyt vuokratuottolaskuri'!$C$18/12),('Edistynyt vuokratuottolaskuri'!$C$19*12),('Edistynyt vuokratuottolaskuri'!$C$17),0,0)</f>
        <v>110.41614461107285</v>
      </c>
      <c r="J323" s="15">
        <f>I323-(H323*('Edistynyt vuokratuottolaskuri'!$C$18/12))</f>
        <v>110.41614461107285</v>
      </c>
      <c r="K323" s="15">
        <f t="shared" si="26"/>
        <v>0</v>
      </c>
      <c r="L323" s="15">
        <f t="shared" si="25"/>
        <v>-16732.959867587295</v>
      </c>
      <c r="M323" s="15">
        <f>'Edistynyt vuokratuottolaskuri'!$C$6-K323-G323</f>
        <v>88732.959867587299</v>
      </c>
      <c r="N323" s="15"/>
      <c r="O323" s="15">
        <f>-'Edistynyt vuokratuottolaskuri'!$C$10*('Edistynyt vuokratuottolaskuri'!$I$7+N323-('Edistynyt vuokratuottolaskuri'!$I$17-(N323*Veroaste)))/12</f>
        <v>0</v>
      </c>
      <c r="P323" s="15">
        <f>P322+'Edistynyt vuokratuottolaskuri'!$I$19+N323+O323</f>
        <v>9856.5530898090346</v>
      </c>
      <c r="Q323" s="15">
        <f>IF(P322&gt;0,(P322*('Edistynyt vuokratuottolaskuri'!$F$7/12)),0)</f>
        <v>53.234785047919182</v>
      </c>
      <c r="R323" s="15"/>
      <c r="S323" s="15"/>
      <c r="T323" s="15"/>
      <c r="U323" s="15"/>
      <c r="V323" s="15"/>
    </row>
    <row r="324" spans="1:23" x14ac:dyDescent="0.2">
      <c r="B324" s="2">
        <v>316</v>
      </c>
      <c r="C324" s="15">
        <f>C312+('Edistynyt vuokratuottolaskuri'!$C$52*C312)</f>
        <v>99734.736252490227</v>
      </c>
      <c r="D324" s="15">
        <f t="shared" si="28"/>
        <v>-16732.959867587295</v>
      </c>
      <c r="E324" s="15">
        <f>-PMT(('Edistynyt vuokratuottolaskuri'!$C$33/12),('Edistynyt vuokratuottolaskuri'!$C$34*12),('Edistynyt vuokratuottolaskuri'!$C$29),0,0)</f>
        <v>209.63805404269655</v>
      </c>
      <c r="F324" s="15">
        <f>E324-(D324*('Edistynyt vuokratuottolaskuri'!$C$33/12))</f>
        <v>237.52632048867537</v>
      </c>
      <c r="G324" s="15">
        <f>IF(Lyhennystapa="Annuiteetti",(D324-F324),IF(Lyhennystapa="Tasalyhennys",(D324-'Edistynyt vuokratuottolaskuri'!$C$38),IF(Lyhennystapa="Bullet",D323,"")))</f>
        <v>-16970.486188075971</v>
      </c>
      <c r="H324" s="15">
        <f t="shared" si="27"/>
        <v>0</v>
      </c>
      <c r="I324" s="15">
        <f>-PMT(('Edistynyt vuokratuottolaskuri'!$C$18/12),('Edistynyt vuokratuottolaskuri'!$C$19*12),('Edistynyt vuokratuottolaskuri'!$C$17),0,0)</f>
        <v>110.41614461107285</v>
      </c>
      <c r="J324" s="15">
        <f>I324-(H324*('Edistynyt vuokratuottolaskuri'!$C$18/12))</f>
        <v>110.41614461107285</v>
      </c>
      <c r="K324" s="15">
        <f t="shared" si="26"/>
        <v>0</v>
      </c>
      <c r="L324" s="15">
        <f t="shared" si="25"/>
        <v>-16970.486188075971</v>
      </c>
      <c r="M324" s="15">
        <f>'Edistynyt vuokratuottolaskuri'!$C$6-K324-G324</f>
        <v>88970.486188075971</v>
      </c>
      <c r="N324" s="15"/>
      <c r="O324" s="15">
        <f>-'Edistynyt vuokratuottolaskuri'!$C$10*('Edistynyt vuokratuottolaskuri'!$I$7+N324-('Edistynyt vuokratuottolaskuri'!$I$17-(N324*Veroaste)))/12</f>
        <v>0</v>
      </c>
      <c r="P324" s="15">
        <f>P323+'Edistynyt vuokratuottolaskuri'!$I$19+N324+O324</f>
        <v>9887.8437345385864</v>
      </c>
      <c r="Q324" s="15">
        <f>IF(P323&gt;0,(P323*('Edistynyt vuokratuottolaskuri'!$F$7/12)),0)</f>
        <v>53.404322579918926</v>
      </c>
      <c r="R324" s="15"/>
      <c r="S324" s="15"/>
      <c r="T324" s="15"/>
      <c r="U324" s="15"/>
      <c r="V324" s="15"/>
    </row>
    <row r="325" spans="1:23" x14ac:dyDescent="0.2">
      <c r="B325" s="2">
        <v>317</v>
      </c>
      <c r="C325" s="15">
        <f>C313+('Edistynyt vuokratuottolaskuri'!$C$52*C313)</f>
        <v>99734.736252490227</v>
      </c>
      <c r="D325" s="15">
        <f t="shared" si="28"/>
        <v>-16970.486188075971</v>
      </c>
      <c r="E325" s="15">
        <f>-PMT(('Edistynyt vuokratuottolaskuri'!$C$33/12),('Edistynyt vuokratuottolaskuri'!$C$34*12),('Edistynyt vuokratuottolaskuri'!$C$29),0,0)</f>
        <v>209.63805404269655</v>
      </c>
      <c r="F325" s="15">
        <f>E325-(D325*('Edistynyt vuokratuottolaskuri'!$C$33/12))</f>
        <v>237.92219768948985</v>
      </c>
      <c r="G325" s="15">
        <f>IF(Lyhennystapa="Annuiteetti",(D325-F325),IF(Lyhennystapa="Tasalyhennys",(D325-'Edistynyt vuokratuottolaskuri'!$C$38),IF(Lyhennystapa="Bullet",D324,"")))</f>
        <v>-17208.408385765462</v>
      </c>
      <c r="H325" s="15">
        <f t="shared" si="27"/>
        <v>0</v>
      </c>
      <c r="I325" s="15">
        <f>-PMT(('Edistynyt vuokratuottolaskuri'!$C$18/12),('Edistynyt vuokratuottolaskuri'!$C$19*12),('Edistynyt vuokratuottolaskuri'!$C$17),0,0)</f>
        <v>110.41614461107285</v>
      </c>
      <c r="J325" s="15">
        <f>I325-(H325*('Edistynyt vuokratuottolaskuri'!$C$18/12))</f>
        <v>110.41614461107285</v>
      </c>
      <c r="K325" s="15">
        <f t="shared" si="26"/>
        <v>0</v>
      </c>
      <c r="L325" s="15">
        <f t="shared" si="25"/>
        <v>-17208.408385765462</v>
      </c>
      <c r="M325" s="15">
        <f>'Edistynyt vuokratuottolaskuri'!$C$6-K325-G325</f>
        <v>89208.408385765462</v>
      </c>
      <c r="N325" s="15"/>
      <c r="O325" s="15">
        <f>-'Edistynyt vuokratuottolaskuri'!$C$10*('Edistynyt vuokratuottolaskuri'!$I$7+N325-('Edistynyt vuokratuottolaskuri'!$I$17-(N325*Veroaste)))/12</f>
        <v>0</v>
      </c>
      <c r="P325" s="15">
        <f>P324+'Edistynyt vuokratuottolaskuri'!$I$19+N325+O325</f>
        <v>9919.1343792681382</v>
      </c>
      <c r="Q325" s="15">
        <f>IF(P324&gt;0,(P324*('Edistynyt vuokratuottolaskuri'!$F$7/12)),0)</f>
        <v>53.573860111918663</v>
      </c>
      <c r="R325" s="15"/>
      <c r="S325" s="15"/>
      <c r="T325" s="15"/>
      <c r="U325" s="15"/>
      <c r="V325" s="15"/>
    </row>
    <row r="326" spans="1:23" x14ac:dyDescent="0.2">
      <c r="B326" s="2">
        <v>318</v>
      </c>
      <c r="C326" s="15">
        <f>C314+('Edistynyt vuokratuottolaskuri'!$C$52*C314)</f>
        <v>99734.736252490227</v>
      </c>
      <c r="D326" s="15">
        <f t="shared" si="28"/>
        <v>-17208.408385765462</v>
      </c>
      <c r="E326" s="15">
        <f>-PMT(('Edistynyt vuokratuottolaskuri'!$C$33/12),('Edistynyt vuokratuottolaskuri'!$C$34*12),('Edistynyt vuokratuottolaskuri'!$C$29),0,0)</f>
        <v>209.63805404269655</v>
      </c>
      <c r="F326" s="15">
        <f>E326-(D326*('Edistynyt vuokratuottolaskuri'!$C$33/12))</f>
        <v>238.31873468563899</v>
      </c>
      <c r="G326" s="15">
        <f>IF(Lyhennystapa="Annuiteetti",(D326-F326),IF(Lyhennystapa="Tasalyhennys",(D326-'Edistynyt vuokratuottolaskuri'!$C$38),IF(Lyhennystapa="Bullet",D325,"")))</f>
        <v>-17446.727120451102</v>
      </c>
      <c r="H326" s="15">
        <f t="shared" si="27"/>
        <v>0</v>
      </c>
      <c r="I326" s="15">
        <f>-PMT(('Edistynyt vuokratuottolaskuri'!$C$18/12),('Edistynyt vuokratuottolaskuri'!$C$19*12),('Edistynyt vuokratuottolaskuri'!$C$17),0,0)</f>
        <v>110.41614461107285</v>
      </c>
      <c r="J326" s="15">
        <f>I326-(H326*('Edistynyt vuokratuottolaskuri'!$C$18/12))</f>
        <v>110.41614461107285</v>
      </c>
      <c r="K326" s="15">
        <f t="shared" si="26"/>
        <v>0</v>
      </c>
      <c r="L326" s="15">
        <f t="shared" si="25"/>
        <v>-17446.727120451102</v>
      </c>
      <c r="M326" s="15">
        <f>'Edistynyt vuokratuottolaskuri'!$C$6-K326-G326</f>
        <v>89446.727120451105</v>
      </c>
      <c r="N326" s="15"/>
      <c r="O326" s="15">
        <f>-'Edistynyt vuokratuottolaskuri'!$C$10*('Edistynyt vuokratuottolaskuri'!$I$7+N326-('Edistynyt vuokratuottolaskuri'!$I$17-(N326*Veroaste)))/12</f>
        <v>0</v>
      </c>
      <c r="P326" s="15">
        <f>P325+'Edistynyt vuokratuottolaskuri'!$I$19+N326+O326</f>
        <v>9950.42502399769</v>
      </c>
      <c r="Q326" s="15">
        <f>IF(P325&gt;0,(P325*('Edistynyt vuokratuottolaskuri'!$F$7/12)),0)</f>
        <v>53.743397643918399</v>
      </c>
      <c r="R326" s="15"/>
      <c r="S326" s="15"/>
      <c r="T326" s="15"/>
      <c r="U326" s="15"/>
      <c r="V326" s="15"/>
    </row>
    <row r="327" spans="1:23" x14ac:dyDescent="0.2">
      <c r="B327" s="2">
        <v>319</v>
      </c>
      <c r="C327" s="15">
        <f>C315+('Edistynyt vuokratuottolaskuri'!$C$52*C315)</f>
        <v>99734.736252490227</v>
      </c>
      <c r="D327" s="15">
        <f t="shared" si="28"/>
        <v>-17446.727120451102</v>
      </c>
      <c r="E327" s="15">
        <f>-PMT(('Edistynyt vuokratuottolaskuri'!$C$33/12),('Edistynyt vuokratuottolaskuri'!$C$34*12),('Edistynyt vuokratuottolaskuri'!$C$29),0,0)</f>
        <v>209.63805404269655</v>
      </c>
      <c r="F327" s="15">
        <f>E327-(D327*('Edistynyt vuokratuottolaskuri'!$C$33/12))</f>
        <v>238.71593257678171</v>
      </c>
      <c r="G327" s="15">
        <f>IF(Lyhennystapa="Annuiteetti",(D327-F327),IF(Lyhennystapa="Tasalyhennys",(D327-'Edistynyt vuokratuottolaskuri'!$C$38),IF(Lyhennystapa="Bullet",D326,"")))</f>
        <v>-17685.443053027884</v>
      </c>
      <c r="H327" s="15">
        <f t="shared" si="27"/>
        <v>0</v>
      </c>
      <c r="I327" s="15">
        <f>-PMT(('Edistynyt vuokratuottolaskuri'!$C$18/12),('Edistynyt vuokratuottolaskuri'!$C$19*12),('Edistynyt vuokratuottolaskuri'!$C$17),0,0)</f>
        <v>110.41614461107285</v>
      </c>
      <c r="J327" s="15">
        <f>I327-(H327*('Edistynyt vuokratuottolaskuri'!$C$18/12))</f>
        <v>110.41614461107285</v>
      </c>
      <c r="K327" s="15">
        <f t="shared" si="26"/>
        <v>0</v>
      </c>
      <c r="L327" s="15">
        <f t="shared" si="25"/>
        <v>-17685.443053027884</v>
      </c>
      <c r="M327" s="15">
        <f>'Edistynyt vuokratuottolaskuri'!$C$6-K327-G327</f>
        <v>89685.443053027877</v>
      </c>
      <c r="N327" s="15"/>
      <c r="O327" s="15">
        <f>-'Edistynyt vuokratuottolaskuri'!$C$10*('Edistynyt vuokratuottolaskuri'!$I$7+N327-('Edistynyt vuokratuottolaskuri'!$I$17-(N327*Veroaste)))/12</f>
        <v>0</v>
      </c>
      <c r="P327" s="15">
        <f>P326+'Edistynyt vuokratuottolaskuri'!$I$19+N327+O327</f>
        <v>9981.7156687272418</v>
      </c>
      <c r="Q327" s="15">
        <f>IF(P326&gt;0,(P326*('Edistynyt vuokratuottolaskuri'!$F$7/12)),0)</f>
        <v>53.912935175918136</v>
      </c>
      <c r="R327" s="15"/>
      <c r="S327" s="15"/>
      <c r="T327" s="15"/>
      <c r="U327" s="15"/>
      <c r="V327" s="15"/>
    </row>
    <row r="328" spans="1:23" x14ac:dyDescent="0.2">
      <c r="B328" s="2">
        <v>320</v>
      </c>
      <c r="C328" s="15">
        <f>C316+('Edistynyt vuokratuottolaskuri'!$C$52*C316)</f>
        <v>99734.736252490227</v>
      </c>
      <c r="D328" s="15">
        <f t="shared" si="28"/>
        <v>-17685.443053027884</v>
      </c>
      <c r="E328" s="15">
        <f>-PMT(('Edistynyt vuokratuottolaskuri'!$C$33/12),('Edistynyt vuokratuottolaskuri'!$C$34*12),('Edistynyt vuokratuottolaskuri'!$C$29),0,0)</f>
        <v>209.63805404269655</v>
      </c>
      <c r="F328" s="15">
        <f>E328-(D328*('Edistynyt vuokratuottolaskuri'!$C$33/12))</f>
        <v>239.1137924644097</v>
      </c>
      <c r="G328" s="15">
        <f>IF(Lyhennystapa="Annuiteetti",(D328-F328),IF(Lyhennystapa="Tasalyhennys",(D328-'Edistynyt vuokratuottolaskuri'!$C$38),IF(Lyhennystapa="Bullet",D327,"")))</f>
        <v>-17924.556845492294</v>
      </c>
      <c r="H328" s="15">
        <f t="shared" si="27"/>
        <v>0</v>
      </c>
      <c r="I328" s="15">
        <f>-PMT(('Edistynyt vuokratuottolaskuri'!$C$18/12),('Edistynyt vuokratuottolaskuri'!$C$19*12),('Edistynyt vuokratuottolaskuri'!$C$17),0,0)</f>
        <v>110.41614461107285</v>
      </c>
      <c r="J328" s="15">
        <f>I328-(H328*('Edistynyt vuokratuottolaskuri'!$C$18/12))</f>
        <v>110.41614461107285</v>
      </c>
      <c r="K328" s="15">
        <f t="shared" si="26"/>
        <v>0</v>
      </c>
      <c r="L328" s="15">
        <f t="shared" si="25"/>
        <v>-17924.556845492294</v>
      </c>
      <c r="M328" s="15">
        <f>'Edistynyt vuokratuottolaskuri'!$C$6-K328-G328</f>
        <v>89924.55684549229</v>
      </c>
      <c r="N328" s="15"/>
      <c r="O328" s="15">
        <f>-'Edistynyt vuokratuottolaskuri'!$C$10*('Edistynyt vuokratuottolaskuri'!$I$7+N328-('Edistynyt vuokratuottolaskuri'!$I$17-(N328*Veroaste)))/12</f>
        <v>0</v>
      </c>
      <c r="P328" s="15">
        <f>P327+'Edistynyt vuokratuottolaskuri'!$I$19+N328+O328</f>
        <v>10013.006313456794</v>
      </c>
      <c r="Q328" s="15">
        <f>IF(P327&gt;0,(P327*('Edistynyt vuokratuottolaskuri'!$F$7/12)),0)</f>
        <v>54.08247270791788</v>
      </c>
      <c r="R328" s="15"/>
      <c r="S328" s="15"/>
      <c r="T328" s="15"/>
      <c r="U328" s="15"/>
      <c r="V328" s="15"/>
    </row>
    <row r="329" spans="1:23" x14ac:dyDescent="0.2">
      <c r="B329" s="2">
        <v>321</v>
      </c>
      <c r="C329" s="15">
        <f>C317+('Edistynyt vuokratuottolaskuri'!$C$52*C317)</f>
        <v>99734.736252490227</v>
      </c>
      <c r="D329" s="15">
        <f t="shared" si="28"/>
        <v>-17924.556845492294</v>
      </c>
      <c r="E329" s="15">
        <f>-PMT(('Edistynyt vuokratuottolaskuri'!$C$33/12),('Edistynyt vuokratuottolaskuri'!$C$34*12),('Edistynyt vuokratuottolaskuri'!$C$29),0,0)</f>
        <v>209.63805404269655</v>
      </c>
      <c r="F329" s="15">
        <f>E329-(D329*('Edistynyt vuokratuottolaskuri'!$C$33/12))</f>
        <v>239.51231545185038</v>
      </c>
      <c r="G329" s="15">
        <f>IF(Lyhennystapa="Annuiteetti",(D329-F329),IF(Lyhennystapa="Tasalyhennys",(D329-'Edistynyt vuokratuottolaskuri'!$C$38),IF(Lyhennystapa="Bullet",D328,"")))</f>
        <v>-18164.069160944146</v>
      </c>
      <c r="H329" s="15">
        <f t="shared" si="27"/>
        <v>0</v>
      </c>
      <c r="I329" s="15">
        <f>-PMT(('Edistynyt vuokratuottolaskuri'!$C$18/12),('Edistynyt vuokratuottolaskuri'!$C$19*12),('Edistynyt vuokratuottolaskuri'!$C$17),0,0)</f>
        <v>110.41614461107285</v>
      </c>
      <c r="J329" s="15">
        <f>I329-(H329*('Edistynyt vuokratuottolaskuri'!$C$18/12))</f>
        <v>110.41614461107285</v>
      </c>
      <c r="K329" s="15">
        <f t="shared" si="26"/>
        <v>0</v>
      </c>
      <c r="L329" s="15">
        <f t="shared" si="25"/>
        <v>-18164.069160944146</v>
      </c>
      <c r="M329" s="15">
        <f>'Edistynyt vuokratuottolaskuri'!$C$6-K329-G329</f>
        <v>90164.069160944142</v>
      </c>
      <c r="N329" s="15"/>
      <c r="O329" s="15">
        <f>-'Edistynyt vuokratuottolaskuri'!$C$10*('Edistynyt vuokratuottolaskuri'!$I$7+N329-('Edistynyt vuokratuottolaskuri'!$I$17-(N329*Veroaste)))/12</f>
        <v>0</v>
      </c>
      <c r="P329" s="15">
        <f>P328+'Edistynyt vuokratuottolaskuri'!$I$19+N329+O329</f>
        <v>10044.296958186345</v>
      </c>
      <c r="Q329" s="15">
        <f>IF(P328&gt;0,(P328*('Edistynyt vuokratuottolaskuri'!$F$7/12)),0)</f>
        <v>54.252010239917617</v>
      </c>
      <c r="R329" s="15"/>
      <c r="S329" s="15"/>
      <c r="T329" s="15"/>
      <c r="U329" s="15"/>
      <c r="V329" s="15"/>
    </row>
    <row r="330" spans="1:23" x14ac:dyDescent="0.2">
      <c r="B330" s="2">
        <v>322</v>
      </c>
      <c r="C330" s="15">
        <f>C318+('Edistynyt vuokratuottolaskuri'!$C$52*C318)</f>
        <v>99734.736252490227</v>
      </c>
      <c r="D330" s="15">
        <f t="shared" si="28"/>
        <v>-18164.069160944146</v>
      </c>
      <c r="E330" s="15">
        <f>-PMT(('Edistynyt vuokratuottolaskuri'!$C$33/12),('Edistynyt vuokratuottolaskuri'!$C$34*12),('Edistynyt vuokratuottolaskuri'!$C$29),0,0)</f>
        <v>209.63805404269655</v>
      </c>
      <c r="F330" s="15">
        <f>E330-(D330*('Edistynyt vuokratuottolaskuri'!$C$33/12))</f>
        <v>239.91150264427012</v>
      </c>
      <c r="G330" s="15">
        <f>IF(Lyhennystapa="Annuiteetti",(D330-F330),IF(Lyhennystapa="Tasalyhennys",(D330-'Edistynyt vuokratuottolaskuri'!$C$38),IF(Lyhennystapa="Bullet",D329,"")))</f>
        <v>-18403.980663588416</v>
      </c>
      <c r="H330" s="15">
        <f t="shared" si="27"/>
        <v>0</v>
      </c>
      <c r="I330" s="15">
        <f>-PMT(('Edistynyt vuokratuottolaskuri'!$C$18/12),('Edistynyt vuokratuottolaskuri'!$C$19*12),('Edistynyt vuokratuottolaskuri'!$C$17),0,0)</f>
        <v>110.41614461107285</v>
      </c>
      <c r="J330" s="15">
        <f>I330-(H330*('Edistynyt vuokratuottolaskuri'!$C$18/12))</f>
        <v>110.41614461107285</v>
      </c>
      <c r="K330" s="15">
        <f t="shared" si="26"/>
        <v>0</v>
      </c>
      <c r="L330" s="15">
        <f t="shared" ref="L330:L363" si="29">K330+G330</f>
        <v>-18403.980663588416</v>
      </c>
      <c r="M330" s="15">
        <f>'Edistynyt vuokratuottolaskuri'!$C$6-K330-G330</f>
        <v>90403.980663588416</v>
      </c>
      <c r="N330" s="15"/>
      <c r="O330" s="15">
        <f>-'Edistynyt vuokratuottolaskuri'!$C$10*('Edistynyt vuokratuottolaskuri'!$I$7+N330-('Edistynyt vuokratuottolaskuri'!$I$17-(N330*Veroaste)))/12</f>
        <v>0</v>
      </c>
      <c r="P330" s="15">
        <f>P329+'Edistynyt vuokratuottolaskuri'!$I$19+N330+O330</f>
        <v>10075.587602915897</v>
      </c>
      <c r="Q330" s="15">
        <f>IF(P329&gt;0,(P329*('Edistynyt vuokratuottolaskuri'!$F$7/12)),0)</f>
        <v>54.421547771917353</v>
      </c>
      <c r="R330" s="15"/>
      <c r="S330" s="15"/>
      <c r="T330" s="15"/>
      <c r="U330" s="15"/>
      <c r="V330" s="15"/>
    </row>
    <row r="331" spans="1:23" x14ac:dyDescent="0.2">
      <c r="B331" s="2">
        <v>323</v>
      </c>
      <c r="C331" s="15"/>
      <c r="D331" s="15">
        <f t="shared" si="28"/>
        <v>-18403.980663588416</v>
      </c>
      <c r="E331" s="15">
        <f>-PMT(('Edistynyt vuokratuottolaskuri'!$C$33/12),('Edistynyt vuokratuottolaskuri'!$C$34*12),('Edistynyt vuokratuottolaskuri'!$C$29),0,0)</f>
        <v>209.63805404269655</v>
      </c>
      <c r="F331" s="15">
        <f>E331-(D331*('Edistynyt vuokratuottolaskuri'!$C$33/12))</f>
        <v>240.31135514867725</v>
      </c>
      <c r="G331" s="15">
        <f>IF(Lyhennystapa="Annuiteetti",(D331-F331),IF(Lyhennystapa="Tasalyhennys",(D331-'Edistynyt vuokratuottolaskuri'!$C$38),IF(Lyhennystapa="Bullet",D330,"")))</f>
        <v>-18644.292018737095</v>
      </c>
      <c r="H331" s="15">
        <f t="shared" si="27"/>
        <v>0</v>
      </c>
      <c r="I331" s="15">
        <f>-PMT(('Edistynyt vuokratuottolaskuri'!$C$18/12),('Edistynyt vuokratuottolaskuri'!$C$19*12),('Edistynyt vuokratuottolaskuri'!$C$17),0,0)</f>
        <v>110.41614461107285</v>
      </c>
      <c r="J331" s="15">
        <f>I331-(H331*('Edistynyt vuokratuottolaskuri'!$C$18/12))</f>
        <v>110.41614461107285</v>
      </c>
      <c r="K331" s="15">
        <f t="shared" ref="K331:K363" si="30">IF(K330&gt;0.01,H331-J331,0)</f>
        <v>0</v>
      </c>
      <c r="L331" s="15">
        <f t="shared" si="29"/>
        <v>-18644.292018737095</v>
      </c>
      <c r="M331" s="15">
        <f>'Edistynyt vuokratuottolaskuri'!$C$6-K331-G331</f>
        <v>90644.292018737091</v>
      </c>
      <c r="P331" s="15">
        <f>P330+'Edistynyt vuokratuottolaskuri'!$I$19+N331+O331</f>
        <v>10106.878247645449</v>
      </c>
      <c r="Q331" s="15">
        <f>IF(P330&gt;0,(P330*('Edistynyt vuokratuottolaskuri'!$F$7/12)),0)</f>
        <v>54.591085303917097</v>
      </c>
      <c r="R331" s="15"/>
      <c r="S331" s="15"/>
      <c r="T331" s="15"/>
      <c r="U331" s="15"/>
      <c r="V331" s="15"/>
    </row>
    <row r="332" spans="1:23" x14ac:dyDescent="0.2">
      <c r="B332" s="2">
        <v>324</v>
      </c>
      <c r="C332" s="15"/>
      <c r="D332" s="15">
        <f t="shared" si="28"/>
        <v>-18644.292018737095</v>
      </c>
      <c r="E332" s="15">
        <f>-PMT(('Edistynyt vuokratuottolaskuri'!$C$33/12),('Edistynyt vuokratuottolaskuri'!$C$34*12),('Edistynyt vuokratuottolaskuri'!$C$29),0,0)</f>
        <v>209.63805404269655</v>
      </c>
      <c r="F332" s="15">
        <f>E332-(D332*('Edistynyt vuokratuottolaskuri'!$C$33/12))</f>
        <v>240.71187407392506</v>
      </c>
      <c r="G332" s="15">
        <f>IF(Lyhennystapa="Annuiteetti",(D332-F332),IF(Lyhennystapa="Tasalyhennys",(D332-'Edistynyt vuokratuottolaskuri'!$C$38),IF(Lyhennystapa="Bullet",D331,"")))</f>
        <v>-18885.003892811019</v>
      </c>
      <c r="H332" s="15">
        <f t="shared" si="27"/>
        <v>0</v>
      </c>
      <c r="I332" s="15">
        <f>-PMT(('Edistynyt vuokratuottolaskuri'!$C$18/12),('Edistynyt vuokratuottolaskuri'!$C$19*12),('Edistynyt vuokratuottolaskuri'!$C$17),0,0)</f>
        <v>110.41614461107285</v>
      </c>
      <c r="J332" s="15">
        <f>I332-(H332*('Edistynyt vuokratuottolaskuri'!$C$18/12))</f>
        <v>110.41614461107285</v>
      </c>
      <c r="K332" s="15">
        <f t="shared" si="30"/>
        <v>0</v>
      </c>
      <c r="L332" s="15">
        <f t="shared" si="29"/>
        <v>-18885.003892811019</v>
      </c>
      <c r="M332" s="15">
        <f>'Edistynyt vuokratuottolaskuri'!$C$6-K332-G332</f>
        <v>90885.003892811015</v>
      </c>
      <c r="P332" s="15">
        <f>P331+'Edistynyt vuokratuottolaskuri'!$I$19+N332+O332</f>
        <v>10138.168892375001</v>
      </c>
      <c r="Q332" s="15">
        <f>IF(P331&gt;0,(P331*('Edistynyt vuokratuottolaskuri'!$F$7/12)),0)</f>
        <v>54.760622835916834</v>
      </c>
      <c r="R332" s="15"/>
      <c r="S332" s="15"/>
      <c r="T332" s="15"/>
      <c r="U332" s="15"/>
      <c r="V332" s="15"/>
    </row>
    <row r="333" spans="1:23" x14ac:dyDescent="0.2">
      <c r="A333" s="2" t="s">
        <v>62</v>
      </c>
      <c r="B333" s="2">
        <v>325</v>
      </c>
      <c r="C333" s="15">
        <f>C321+('Edistynyt vuokratuottolaskuri'!$C$52*C321)</f>
        <v>100732.08361501513</v>
      </c>
      <c r="D333" s="15">
        <f t="shared" si="28"/>
        <v>-18885.003892811019</v>
      </c>
      <c r="E333" s="15">
        <f>-PMT(('Edistynyt vuokratuottolaskuri'!$C$33/12),('Edistynyt vuokratuottolaskuri'!$C$34*12),('Edistynyt vuokratuottolaskuri'!$C$29),0,0)</f>
        <v>209.63805404269655</v>
      </c>
      <c r="F333" s="15">
        <f>E333-(D333*('Edistynyt vuokratuottolaskuri'!$C$33/12))</f>
        <v>241.1130605307149</v>
      </c>
      <c r="G333" s="15">
        <f>IF(Lyhennystapa="Annuiteetti",(D333-F333),IF(Lyhennystapa="Tasalyhennys",(D333-'Edistynyt vuokratuottolaskuri'!$C$38),IF(Lyhennystapa="Bullet",D332,"")))</f>
        <v>-19126.116953341734</v>
      </c>
      <c r="H333" s="15">
        <f t="shared" si="27"/>
        <v>0</v>
      </c>
      <c r="I333" s="15">
        <f>-PMT(('Edistynyt vuokratuottolaskuri'!$C$18/12),('Edistynyt vuokratuottolaskuri'!$C$19*12),('Edistynyt vuokratuottolaskuri'!$C$17),0,0)</f>
        <v>110.41614461107285</v>
      </c>
      <c r="J333" s="15">
        <f>I333-(H333*('Edistynyt vuokratuottolaskuri'!$C$18/12))</f>
        <v>110.41614461107285</v>
      </c>
      <c r="K333" s="15">
        <f t="shared" si="30"/>
        <v>0</v>
      </c>
      <c r="L333" s="15">
        <f t="shared" si="29"/>
        <v>-19126.116953341734</v>
      </c>
      <c r="M333" s="15">
        <f>'Edistynyt vuokratuottolaskuri'!$C$6-K333-G333</f>
        <v>91126.116953341727</v>
      </c>
      <c r="P333" s="15">
        <f>P332+'Edistynyt vuokratuottolaskuri'!$I$19+N333+O333</f>
        <v>10169.459537104553</v>
      </c>
      <c r="Q333" s="15">
        <f>IF(P332&gt;0,(P332*('Edistynyt vuokratuottolaskuri'!$F$7/12)),0)</f>
        <v>54.930160367916571</v>
      </c>
      <c r="R333" s="15"/>
      <c r="S333" s="15"/>
      <c r="T333" s="15"/>
      <c r="U333" s="15"/>
      <c r="V333" s="15"/>
    </row>
    <row r="334" spans="1:23" x14ac:dyDescent="0.2">
      <c r="B334" s="2">
        <v>326</v>
      </c>
      <c r="C334" s="15"/>
      <c r="D334" s="15">
        <f t="shared" si="28"/>
        <v>-19126.116953341734</v>
      </c>
      <c r="E334" s="15">
        <f>-PMT(('Edistynyt vuokratuottolaskuri'!$C$33/12),('Edistynyt vuokratuottolaskuri'!$C$34*12),('Edistynyt vuokratuottolaskuri'!$C$29),0,0)</f>
        <v>209.63805404269655</v>
      </c>
      <c r="F334" s="15">
        <f>E334-(D334*('Edistynyt vuokratuottolaskuri'!$C$33/12))</f>
        <v>241.51491563159945</v>
      </c>
      <c r="G334" s="15">
        <f>IF(Lyhennystapa="Annuiteetti",(D334-F334),IF(Lyhennystapa="Tasalyhennys",(D334-'Edistynyt vuokratuottolaskuri'!$C$38),IF(Lyhennystapa="Bullet",D333,"")))</f>
        <v>-19367.631868973334</v>
      </c>
      <c r="H334" s="15">
        <f t="shared" si="27"/>
        <v>0</v>
      </c>
      <c r="I334" s="15">
        <f>-PMT(('Edistynyt vuokratuottolaskuri'!$C$18/12),('Edistynyt vuokratuottolaskuri'!$C$19*12),('Edistynyt vuokratuottolaskuri'!$C$17),0,0)</f>
        <v>110.41614461107285</v>
      </c>
      <c r="J334" s="15">
        <f>I334-(H334*('Edistynyt vuokratuottolaskuri'!$C$18/12))</f>
        <v>110.41614461107285</v>
      </c>
      <c r="K334" s="15">
        <f t="shared" si="30"/>
        <v>0</v>
      </c>
      <c r="L334" s="15">
        <f t="shared" si="29"/>
        <v>-19367.631868973334</v>
      </c>
      <c r="M334" s="15">
        <f>'Edistynyt vuokratuottolaskuri'!$C$6-K334-G334</f>
        <v>91367.631868973331</v>
      </c>
      <c r="P334" s="15">
        <f>P333+'Edistynyt vuokratuottolaskuri'!$I$19+N334+O334</f>
        <v>10200.750181834104</v>
      </c>
      <c r="Q334" s="15">
        <f>IF(P333&gt;0,(P333*('Edistynyt vuokratuottolaskuri'!$F$7/12)),0)</f>
        <v>55.099697899916308</v>
      </c>
      <c r="R334" s="15"/>
      <c r="S334" s="15"/>
      <c r="T334" s="15"/>
      <c r="U334" s="15"/>
      <c r="V334" s="15"/>
    </row>
    <row r="335" spans="1:23" x14ac:dyDescent="0.2">
      <c r="B335" s="2">
        <v>327</v>
      </c>
      <c r="C335" s="15"/>
      <c r="D335" s="15">
        <f t="shared" si="28"/>
        <v>-19367.631868973334</v>
      </c>
      <c r="E335" s="15">
        <f>-PMT(('Edistynyt vuokratuottolaskuri'!$C$33/12),('Edistynyt vuokratuottolaskuri'!$C$34*12),('Edistynyt vuokratuottolaskuri'!$C$29),0,0)</f>
        <v>209.63805404269655</v>
      </c>
      <c r="F335" s="15">
        <f>E335-(D335*('Edistynyt vuokratuottolaskuri'!$C$33/12))</f>
        <v>241.91744049098543</v>
      </c>
      <c r="G335" s="15">
        <f>IF(Lyhennystapa="Annuiteetti",(D335-F335),IF(Lyhennystapa="Tasalyhennys",(D335-'Edistynyt vuokratuottolaskuri'!$C$38),IF(Lyhennystapa="Bullet",D334,"")))</f>
        <v>-19609.549309464321</v>
      </c>
      <c r="H335" s="15">
        <f t="shared" si="27"/>
        <v>0</v>
      </c>
      <c r="I335" s="15">
        <f>-PMT(('Edistynyt vuokratuottolaskuri'!$C$18/12),('Edistynyt vuokratuottolaskuri'!$C$19*12),('Edistynyt vuokratuottolaskuri'!$C$17),0,0)</f>
        <v>110.41614461107285</v>
      </c>
      <c r="J335" s="15">
        <f>I335-(H335*('Edistynyt vuokratuottolaskuri'!$C$18/12))</f>
        <v>110.41614461107285</v>
      </c>
      <c r="K335" s="15">
        <f t="shared" si="30"/>
        <v>0</v>
      </c>
      <c r="L335" s="15">
        <f t="shared" si="29"/>
        <v>-19609.549309464321</v>
      </c>
      <c r="M335" s="15">
        <f>'Edistynyt vuokratuottolaskuri'!$C$6-K335-G335</f>
        <v>91609.549309464317</v>
      </c>
      <c r="P335" s="15">
        <f>P334+'Edistynyt vuokratuottolaskuri'!$I$19</f>
        <v>10232.040826563656</v>
      </c>
      <c r="Q335" s="15">
        <f>IF(P334&gt;0,(P334*('Edistynyt vuokratuottolaskuri'!$F$7/12)),0)</f>
        <v>55.269235431916051</v>
      </c>
      <c r="R335" s="15"/>
      <c r="S335" s="15"/>
      <c r="T335" s="15"/>
      <c r="U335" s="15"/>
      <c r="V335" s="15"/>
    </row>
    <row r="336" spans="1:23" x14ac:dyDescent="0.2">
      <c r="B336" s="2">
        <v>328</v>
      </c>
      <c r="C336" s="15"/>
      <c r="D336" s="15">
        <f t="shared" si="28"/>
        <v>-19609.549309464321</v>
      </c>
      <c r="E336" s="15">
        <f>-PMT(('Edistynyt vuokratuottolaskuri'!$C$33/12),('Edistynyt vuokratuottolaskuri'!$C$34*12),('Edistynyt vuokratuottolaskuri'!$C$29),0,0)</f>
        <v>209.63805404269655</v>
      </c>
      <c r="F336" s="15">
        <f>E336-(D336*('Edistynyt vuokratuottolaskuri'!$C$33/12))</f>
        <v>242.32063622513709</v>
      </c>
      <c r="G336" s="15">
        <f>IF(Lyhennystapa="Annuiteetti",(D336-F336),IF(Lyhennystapa="Tasalyhennys",(D336-'Edistynyt vuokratuottolaskuri'!$C$38),IF(Lyhennystapa="Bullet",D335,"")))</f>
        <v>-19851.869945689457</v>
      </c>
      <c r="H336" s="15">
        <f t="shared" si="27"/>
        <v>0</v>
      </c>
      <c r="I336" s="15">
        <f>-PMT(('Edistynyt vuokratuottolaskuri'!$C$18/12),('Edistynyt vuokratuottolaskuri'!$C$19*12),('Edistynyt vuokratuottolaskuri'!$C$17),0,0)</f>
        <v>110.41614461107285</v>
      </c>
      <c r="J336" s="15">
        <f>I336-(H336*('Edistynyt vuokratuottolaskuri'!$C$18/12))</f>
        <v>110.41614461107285</v>
      </c>
      <c r="K336" s="15">
        <f t="shared" si="30"/>
        <v>0</v>
      </c>
      <c r="L336" s="15">
        <f t="shared" si="29"/>
        <v>-19851.869945689457</v>
      </c>
      <c r="M336" s="15">
        <f>'Edistynyt vuokratuottolaskuri'!$C$6-K336-G336</f>
        <v>91851.869945689454</v>
      </c>
      <c r="P336" s="15">
        <f>P335+'Edistynyt vuokratuottolaskuri'!$I$19</f>
        <v>10263.331471293208</v>
      </c>
      <c r="Q336" s="15">
        <f>IF(P335&gt;0,(P335*('Edistynyt vuokratuottolaskuri'!$F$7/12)),0)</f>
        <v>55.438772963915788</v>
      </c>
      <c r="R336" s="15"/>
      <c r="S336" s="15"/>
      <c r="T336" s="15"/>
      <c r="U336" s="15"/>
      <c r="V336" s="15"/>
    </row>
    <row r="337" spans="1:22" x14ac:dyDescent="0.2">
      <c r="B337" s="2">
        <v>329</v>
      </c>
      <c r="C337" s="15"/>
      <c r="D337" s="15">
        <f t="shared" si="28"/>
        <v>-19851.869945689457</v>
      </c>
      <c r="E337" s="15">
        <f>-PMT(('Edistynyt vuokratuottolaskuri'!$C$33/12),('Edistynyt vuokratuottolaskuri'!$C$34*12),('Edistynyt vuokratuottolaskuri'!$C$29),0,0)</f>
        <v>209.63805404269655</v>
      </c>
      <c r="F337" s="15">
        <f>E337-(D337*('Edistynyt vuokratuottolaskuri'!$C$33/12))</f>
        <v>242.72450395217899</v>
      </c>
      <c r="G337" s="15">
        <f>IF(Lyhennystapa="Annuiteetti",(D337-F337),IF(Lyhennystapa="Tasalyhennys",(D337-'Edistynyt vuokratuottolaskuri'!$C$38),IF(Lyhennystapa="Bullet",D336,"")))</f>
        <v>-20094.594449641638</v>
      </c>
      <c r="H337" s="15">
        <f t="shared" si="27"/>
        <v>0</v>
      </c>
      <c r="I337" s="15">
        <f>-PMT(('Edistynyt vuokratuottolaskuri'!$C$18/12),('Edistynyt vuokratuottolaskuri'!$C$19*12),('Edistynyt vuokratuottolaskuri'!$C$17),0,0)</f>
        <v>110.41614461107285</v>
      </c>
      <c r="J337" s="15">
        <f>I337-(H337*('Edistynyt vuokratuottolaskuri'!$C$18/12))</f>
        <v>110.41614461107285</v>
      </c>
      <c r="K337" s="15">
        <f t="shared" si="30"/>
        <v>0</v>
      </c>
      <c r="L337" s="15">
        <f t="shared" si="29"/>
        <v>-20094.594449641638</v>
      </c>
      <c r="M337" s="15">
        <f>'Edistynyt vuokratuottolaskuri'!$C$6-K337-G337</f>
        <v>92094.594449641634</v>
      </c>
      <c r="P337" s="15">
        <f>P336+'Edistynyt vuokratuottolaskuri'!$I$19</f>
        <v>10294.62211602276</v>
      </c>
      <c r="Q337" s="15">
        <f>IF(P336&gt;0,(P336*('Edistynyt vuokratuottolaskuri'!$F$7/12)),0)</f>
        <v>55.608310495915525</v>
      </c>
      <c r="R337" s="15"/>
      <c r="S337" s="15"/>
      <c r="T337" s="15"/>
      <c r="U337" s="15"/>
      <c r="V337" s="15"/>
    </row>
    <row r="338" spans="1:22" x14ac:dyDescent="0.2">
      <c r="B338" s="2">
        <v>330</v>
      </c>
      <c r="C338" s="15"/>
      <c r="D338" s="15">
        <f t="shared" si="28"/>
        <v>-20094.594449641638</v>
      </c>
      <c r="E338" s="15">
        <f>-PMT(('Edistynyt vuokratuottolaskuri'!$C$33/12),('Edistynyt vuokratuottolaskuri'!$C$34*12),('Edistynyt vuokratuottolaskuri'!$C$29),0,0)</f>
        <v>209.63805404269655</v>
      </c>
      <c r="F338" s="15">
        <f>E338-(D338*('Edistynyt vuokratuottolaskuri'!$C$33/12))</f>
        <v>243.12904479209928</v>
      </c>
      <c r="G338" s="15">
        <f>IF(Lyhennystapa="Annuiteetti",(D338-F338),IF(Lyhennystapa="Tasalyhennys",(D338-'Edistynyt vuokratuottolaskuri'!$C$38),IF(Lyhennystapa="Bullet",D337,"")))</f>
        <v>-20337.723494433736</v>
      </c>
      <c r="H338" s="15">
        <f t="shared" ref="H338:H363" si="31">K337</f>
        <v>0</v>
      </c>
      <c r="I338" s="15">
        <f>-PMT(('Edistynyt vuokratuottolaskuri'!$C$18/12),('Edistynyt vuokratuottolaskuri'!$C$19*12),('Edistynyt vuokratuottolaskuri'!$C$17),0,0)</f>
        <v>110.41614461107285</v>
      </c>
      <c r="J338" s="15">
        <f>I338-(H338*('Edistynyt vuokratuottolaskuri'!$C$18/12))</f>
        <v>110.41614461107285</v>
      </c>
      <c r="K338" s="15">
        <f t="shared" si="30"/>
        <v>0</v>
      </c>
      <c r="L338" s="15">
        <f t="shared" si="29"/>
        <v>-20337.723494433736</v>
      </c>
      <c r="M338" s="15">
        <f>'Edistynyt vuokratuottolaskuri'!$C$6-K338-G338</f>
        <v>92337.72349443374</v>
      </c>
      <c r="P338" s="15">
        <f>P337+'Edistynyt vuokratuottolaskuri'!$I$19</f>
        <v>10325.912760752311</v>
      </c>
      <c r="Q338" s="15">
        <f>IF(P337&gt;0,(P337*('Edistynyt vuokratuottolaskuri'!$F$7/12)),0)</f>
        <v>55.777848027915269</v>
      </c>
      <c r="R338" s="15"/>
      <c r="S338" s="15"/>
      <c r="T338" s="15"/>
      <c r="U338" s="15"/>
      <c r="V338" s="15"/>
    </row>
    <row r="339" spans="1:22" x14ac:dyDescent="0.2">
      <c r="B339" s="2">
        <v>331</v>
      </c>
      <c r="C339" s="15"/>
      <c r="D339" s="15">
        <f t="shared" si="28"/>
        <v>-20337.723494433736</v>
      </c>
      <c r="E339" s="15">
        <f>-PMT(('Edistynyt vuokratuottolaskuri'!$C$33/12),('Edistynyt vuokratuottolaskuri'!$C$34*12),('Edistynyt vuokratuottolaskuri'!$C$29),0,0)</f>
        <v>209.63805404269655</v>
      </c>
      <c r="F339" s="15">
        <f>E339-(D339*('Edistynyt vuokratuottolaskuri'!$C$33/12))</f>
        <v>243.53425986675279</v>
      </c>
      <c r="G339" s="15">
        <f>IF(Lyhennystapa="Annuiteetti",(D339-F339),IF(Lyhennystapa="Tasalyhennys",(D339-'Edistynyt vuokratuottolaskuri'!$C$38),IF(Lyhennystapa="Bullet",D338,"")))</f>
        <v>-20581.257754300488</v>
      </c>
      <c r="H339" s="15">
        <f t="shared" si="31"/>
        <v>0</v>
      </c>
      <c r="I339" s="15">
        <f>-PMT(('Edistynyt vuokratuottolaskuri'!$C$18/12),('Edistynyt vuokratuottolaskuri'!$C$19*12),('Edistynyt vuokratuottolaskuri'!$C$17),0,0)</f>
        <v>110.41614461107285</v>
      </c>
      <c r="J339" s="15">
        <f>I339-(H339*('Edistynyt vuokratuottolaskuri'!$C$18/12))</f>
        <v>110.41614461107285</v>
      </c>
      <c r="K339" s="15">
        <f t="shared" si="30"/>
        <v>0</v>
      </c>
      <c r="L339" s="15">
        <f t="shared" si="29"/>
        <v>-20581.257754300488</v>
      </c>
      <c r="M339" s="15">
        <f>'Edistynyt vuokratuottolaskuri'!$C$6-K339-G339</f>
        <v>92581.257754300488</v>
      </c>
      <c r="P339" s="15">
        <f>P338+'Edistynyt vuokratuottolaskuri'!$I$19</f>
        <v>10357.203405481863</v>
      </c>
      <c r="Q339" s="15">
        <f>IF(P338&gt;0,(P338*('Edistynyt vuokratuottolaskuri'!$F$7/12)),0)</f>
        <v>55.947385559915006</v>
      </c>
      <c r="R339" s="15"/>
      <c r="S339" s="15"/>
      <c r="T339" s="15"/>
      <c r="U339" s="15"/>
      <c r="V339" s="15"/>
    </row>
    <row r="340" spans="1:22" x14ac:dyDescent="0.2">
      <c r="B340" s="2">
        <v>332</v>
      </c>
      <c r="C340" s="15"/>
      <c r="D340" s="15">
        <f t="shared" si="28"/>
        <v>-20581.257754300488</v>
      </c>
      <c r="E340" s="15">
        <f>-PMT(('Edistynyt vuokratuottolaskuri'!$C$33/12),('Edistynyt vuokratuottolaskuri'!$C$34*12),('Edistynyt vuokratuottolaskuri'!$C$29),0,0)</f>
        <v>209.63805404269655</v>
      </c>
      <c r="F340" s="15">
        <f>E340-(D340*('Edistynyt vuokratuottolaskuri'!$C$33/12))</f>
        <v>243.94015029986403</v>
      </c>
      <c r="G340" s="15">
        <f>IF(Lyhennystapa="Annuiteetti",(D340-F340),IF(Lyhennystapa="Tasalyhennys",(D340-'Edistynyt vuokratuottolaskuri'!$C$38),IF(Lyhennystapa="Bullet",D339,"")))</f>
        <v>-20825.197904600351</v>
      </c>
      <c r="H340" s="15">
        <f t="shared" si="31"/>
        <v>0</v>
      </c>
      <c r="I340" s="15">
        <f>-PMT(('Edistynyt vuokratuottolaskuri'!$C$18/12),('Edistynyt vuokratuottolaskuri'!$C$19*12),('Edistynyt vuokratuottolaskuri'!$C$17),0,0)</f>
        <v>110.41614461107285</v>
      </c>
      <c r="J340" s="15">
        <f>I340-(H340*('Edistynyt vuokratuottolaskuri'!$C$18/12))</f>
        <v>110.41614461107285</v>
      </c>
      <c r="K340" s="15">
        <f t="shared" si="30"/>
        <v>0</v>
      </c>
      <c r="L340" s="15">
        <f t="shared" si="29"/>
        <v>-20825.197904600351</v>
      </c>
      <c r="M340" s="15">
        <f>'Edistynyt vuokratuottolaskuri'!$C$6-K340-G340</f>
        <v>92825.197904600354</v>
      </c>
      <c r="P340" s="15">
        <f>P339+'Edistynyt vuokratuottolaskuri'!$I$19</f>
        <v>10388.494050211415</v>
      </c>
      <c r="Q340" s="15">
        <f>IF(P339&gt;0,(P339*('Edistynyt vuokratuottolaskuri'!$F$7/12)),0)</f>
        <v>56.116923091914742</v>
      </c>
      <c r="R340" s="15"/>
      <c r="S340" s="15"/>
      <c r="T340" s="15"/>
      <c r="U340" s="15"/>
      <c r="V340" s="15"/>
    </row>
    <row r="341" spans="1:22" x14ac:dyDescent="0.2">
      <c r="B341" s="2">
        <v>333</v>
      </c>
      <c r="C341" s="15"/>
      <c r="D341" s="15">
        <f t="shared" si="28"/>
        <v>-20825.197904600351</v>
      </c>
      <c r="E341" s="15">
        <f>-PMT(('Edistynyt vuokratuottolaskuri'!$C$33/12),('Edistynyt vuokratuottolaskuri'!$C$34*12),('Edistynyt vuokratuottolaskuri'!$C$29),0,0)</f>
        <v>209.63805404269655</v>
      </c>
      <c r="F341" s="15">
        <f>E341-(D341*('Edistynyt vuokratuottolaskuri'!$C$33/12))</f>
        <v>244.34671721703046</v>
      </c>
      <c r="G341" s="15">
        <f>IF(Lyhennystapa="Annuiteetti",(D341-F341),IF(Lyhennystapa="Tasalyhennys",(D341-'Edistynyt vuokratuottolaskuri'!$C$38),IF(Lyhennystapa="Bullet",D340,"")))</f>
        <v>-21069.544621817382</v>
      </c>
      <c r="H341" s="15">
        <f t="shared" si="31"/>
        <v>0</v>
      </c>
      <c r="I341" s="15">
        <f>-PMT(('Edistynyt vuokratuottolaskuri'!$C$18/12),('Edistynyt vuokratuottolaskuri'!$C$19*12),('Edistynyt vuokratuottolaskuri'!$C$17),0,0)</f>
        <v>110.41614461107285</v>
      </c>
      <c r="J341" s="15">
        <f>I341-(H341*('Edistynyt vuokratuottolaskuri'!$C$18/12))</f>
        <v>110.41614461107285</v>
      </c>
      <c r="K341" s="15">
        <f t="shared" si="30"/>
        <v>0</v>
      </c>
      <c r="L341" s="15">
        <f t="shared" si="29"/>
        <v>-21069.544621817382</v>
      </c>
      <c r="M341" s="15">
        <f>'Edistynyt vuokratuottolaskuri'!$C$6-K341-G341</f>
        <v>93069.544621817389</v>
      </c>
      <c r="P341" s="15">
        <f>P340+'Edistynyt vuokratuottolaskuri'!$I$19</f>
        <v>10419.784694940967</v>
      </c>
      <c r="Q341" s="15">
        <f>IF(P340&gt;0,(P340*('Edistynyt vuokratuottolaskuri'!$F$7/12)),0)</f>
        <v>56.286460623914479</v>
      </c>
      <c r="R341" s="15"/>
      <c r="S341" s="15"/>
      <c r="T341" s="15"/>
      <c r="U341" s="15"/>
      <c r="V341" s="15"/>
    </row>
    <row r="342" spans="1:22" x14ac:dyDescent="0.2">
      <c r="B342" s="2">
        <v>334</v>
      </c>
      <c r="C342" s="15"/>
      <c r="D342" s="15">
        <f t="shared" si="28"/>
        <v>-21069.544621817382</v>
      </c>
      <c r="E342" s="15">
        <f>-PMT(('Edistynyt vuokratuottolaskuri'!$C$33/12),('Edistynyt vuokratuottolaskuri'!$C$34*12),('Edistynyt vuokratuottolaskuri'!$C$29),0,0)</f>
        <v>209.63805404269655</v>
      </c>
      <c r="F342" s="15">
        <f>E342-(D342*('Edistynyt vuokratuottolaskuri'!$C$33/12))</f>
        <v>244.75396174572552</v>
      </c>
      <c r="G342" s="15">
        <f>IF(Lyhennystapa="Annuiteetti",(D342-F342),IF(Lyhennystapa="Tasalyhennys",(D342-'Edistynyt vuokratuottolaskuri'!$C$38),IF(Lyhennystapa="Bullet",D341,"")))</f>
        <v>-21314.298583563108</v>
      </c>
      <c r="H342" s="15">
        <f t="shared" si="31"/>
        <v>0</v>
      </c>
      <c r="I342" s="15">
        <f>-PMT(('Edistynyt vuokratuottolaskuri'!$C$18/12),('Edistynyt vuokratuottolaskuri'!$C$19*12),('Edistynyt vuokratuottolaskuri'!$C$17),0,0)</f>
        <v>110.41614461107285</v>
      </c>
      <c r="J342" s="15">
        <f>I342-(H342*('Edistynyt vuokratuottolaskuri'!$C$18/12))</f>
        <v>110.41614461107285</v>
      </c>
      <c r="K342" s="15">
        <f t="shared" si="30"/>
        <v>0</v>
      </c>
      <c r="L342" s="15">
        <f t="shared" si="29"/>
        <v>-21314.298583563108</v>
      </c>
      <c r="M342" s="15">
        <f>'Edistynyt vuokratuottolaskuri'!$C$6-K342-G342</f>
        <v>93314.298583563112</v>
      </c>
      <c r="P342" s="15">
        <f>P341+'Edistynyt vuokratuottolaskuri'!$I$19</f>
        <v>10451.075339670519</v>
      </c>
      <c r="Q342" s="15">
        <f>IF(P341&gt;0,(P341*('Edistynyt vuokratuottolaskuri'!$F$7/12)),0)</f>
        <v>56.455998155914223</v>
      </c>
      <c r="R342" s="15"/>
      <c r="S342" s="15"/>
      <c r="T342" s="15"/>
      <c r="U342" s="15"/>
      <c r="V342" s="15"/>
    </row>
    <row r="343" spans="1:22" x14ac:dyDescent="0.2">
      <c r="B343" s="2">
        <v>335</v>
      </c>
      <c r="C343" s="15"/>
      <c r="D343" s="15">
        <f t="shared" si="28"/>
        <v>-21314.298583563108</v>
      </c>
      <c r="E343" s="15">
        <f>-PMT(('Edistynyt vuokratuottolaskuri'!$C$33/12),('Edistynyt vuokratuottolaskuri'!$C$34*12),('Edistynyt vuokratuottolaskuri'!$C$29),0,0)</f>
        <v>209.63805404269655</v>
      </c>
      <c r="F343" s="15">
        <f>E343-(D343*('Edistynyt vuokratuottolaskuri'!$C$33/12))</f>
        <v>245.16188501530172</v>
      </c>
      <c r="G343" s="15">
        <f>IF(Lyhennystapa="Annuiteetti",(D343-F343),IF(Lyhennystapa="Tasalyhennys",(D343-'Edistynyt vuokratuottolaskuri'!$C$38),IF(Lyhennystapa="Bullet",D342,"")))</f>
        <v>-21559.460468578411</v>
      </c>
      <c r="H343" s="15">
        <f t="shared" si="31"/>
        <v>0</v>
      </c>
      <c r="I343" s="15">
        <f>-PMT(('Edistynyt vuokratuottolaskuri'!$C$18/12),('Edistynyt vuokratuottolaskuri'!$C$19*12),('Edistynyt vuokratuottolaskuri'!$C$17),0,0)</f>
        <v>110.41614461107285</v>
      </c>
      <c r="J343" s="15">
        <f>I343-(H343*('Edistynyt vuokratuottolaskuri'!$C$18/12))</f>
        <v>110.41614461107285</v>
      </c>
      <c r="K343" s="15">
        <f t="shared" si="30"/>
        <v>0</v>
      </c>
      <c r="L343" s="15">
        <f t="shared" si="29"/>
        <v>-21559.460468578411</v>
      </c>
      <c r="M343" s="15">
        <f>'Edistynyt vuokratuottolaskuri'!$C$6-K343-G343</f>
        <v>93559.460468578414</v>
      </c>
      <c r="P343" s="15">
        <f>P342+'Edistynyt vuokratuottolaskuri'!$I$19</f>
        <v>10482.36598440007</v>
      </c>
      <c r="Q343" s="15">
        <f>IF(P342&gt;0,(P342*('Edistynyt vuokratuottolaskuri'!$F$7/12)),0)</f>
        <v>56.62553568791396</v>
      </c>
      <c r="R343" s="15"/>
      <c r="S343" s="15"/>
      <c r="T343" s="15"/>
      <c r="U343" s="15"/>
      <c r="V343" s="15"/>
    </row>
    <row r="344" spans="1:22" x14ac:dyDescent="0.2">
      <c r="B344" s="2">
        <v>336</v>
      </c>
      <c r="C344" s="15"/>
      <c r="D344" s="15">
        <f t="shared" si="28"/>
        <v>-21559.460468578411</v>
      </c>
      <c r="E344" s="15">
        <f>-PMT(('Edistynyt vuokratuottolaskuri'!$C$33/12),('Edistynyt vuokratuottolaskuri'!$C$34*12),('Edistynyt vuokratuottolaskuri'!$C$29),0,0)</f>
        <v>209.63805404269655</v>
      </c>
      <c r="F344" s="15">
        <f>E344-(D344*('Edistynyt vuokratuottolaskuri'!$C$33/12))</f>
        <v>245.57048815699392</v>
      </c>
      <c r="G344" s="15">
        <f>IF(Lyhennystapa="Annuiteetti",(D344-F344),IF(Lyhennystapa="Tasalyhennys",(D344-'Edistynyt vuokratuottolaskuri'!$C$38),IF(Lyhennystapa="Bullet",D343,"")))</f>
        <v>-21805.030956735405</v>
      </c>
      <c r="H344" s="15">
        <f t="shared" si="31"/>
        <v>0</v>
      </c>
      <c r="I344" s="15">
        <f>-PMT(('Edistynyt vuokratuottolaskuri'!$C$18/12),('Edistynyt vuokratuottolaskuri'!$C$19*12),('Edistynyt vuokratuottolaskuri'!$C$17),0,0)</f>
        <v>110.41614461107285</v>
      </c>
      <c r="J344" s="15">
        <f>I344-(H344*('Edistynyt vuokratuottolaskuri'!$C$18/12))</f>
        <v>110.41614461107285</v>
      </c>
      <c r="K344" s="15">
        <f t="shared" si="30"/>
        <v>0</v>
      </c>
      <c r="L344" s="15">
        <f t="shared" si="29"/>
        <v>-21805.030956735405</v>
      </c>
      <c r="M344" s="15">
        <f>'Edistynyt vuokratuottolaskuri'!$C$6-K344-G344</f>
        <v>93805.030956735398</v>
      </c>
      <c r="P344" s="15">
        <f>P343+'Edistynyt vuokratuottolaskuri'!$I$19</f>
        <v>10513.656629129622</v>
      </c>
      <c r="Q344" s="15">
        <f>IF(P343&gt;0,(P343*('Edistynyt vuokratuottolaskuri'!$F$7/12)),0)</f>
        <v>56.795073219913697</v>
      </c>
      <c r="R344" s="15"/>
      <c r="S344" s="15"/>
      <c r="T344" s="15"/>
      <c r="U344" s="15"/>
      <c r="V344" s="15"/>
    </row>
    <row r="345" spans="1:22" x14ac:dyDescent="0.2">
      <c r="A345" s="2" t="s">
        <v>63</v>
      </c>
      <c r="B345" s="2">
        <v>337</v>
      </c>
      <c r="C345" s="15">
        <f>C333+('Edistynyt vuokratuottolaskuri'!$C$52*C333)</f>
        <v>101739.40445116528</v>
      </c>
      <c r="D345" s="15">
        <f t="shared" si="28"/>
        <v>-21805.030956735405</v>
      </c>
      <c r="E345" s="15">
        <f>-PMT(('Edistynyt vuokratuottolaskuri'!$C$33/12),('Edistynyt vuokratuottolaskuri'!$C$34*12),('Edistynyt vuokratuottolaskuri'!$C$29),0,0)</f>
        <v>209.63805404269655</v>
      </c>
      <c r="F345" s="15">
        <f>E345-(D345*('Edistynyt vuokratuottolaskuri'!$C$33/12))</f>
        <v>245.97977230392223</v>
      </c>
      <c r="G345" s="15">
        <f>IF(Lyhennystapa="Annuiteetti",(D345-F345),IF(Lyhennystapa="Tasalyhennys",(D345-'Edistynyt vuokratuottolaskuri'!$C$38),IF(Lyhennystapa="Bullet",D344,"")))</f>
        <v>-22051.010729039328</v>
      </c>
      <c r="H345" s="15">
        <f t="shared" si="31"/>
        <v>0</v>
      </c>
      <c r="I345" s="15">
        <f>-PMT(('Edistynyt vuokratuottolaskuri'!$C$18/12),('Edistynyt vuokratuottolaskuri'!$C$19*12),('Edistynyt vuokratuottolaskuri'!$C$17),0,0)</f>
        <v>110.41614461107285</v>
      </c>
      <c r="J345" s="15">
        <f>I345-(H345*('Edistynyt vuokratuottolaskuri'!$C$18/12))</f>
        <v>110.41614461107285</v>
      </c>
      <c r="K345" s="15">
        <f t="shared" si="30"/>
        <v>0</v>
      </c>
      <c r="L345" s="15">
        <f t="shared" si="29"/>
        <v>-22051.010729039328</v>
      </c>
      <c r="M345" s="15">
        <f>'Edistynyt vuokratuottolaskuri'!$C$6-K345-G345</f>
        <v>94051.010729039321</v>
      </c>
      <c r="P345" s="15">
        <f>P344+'Edistynyt vuokratuottolaskuri'!$I$19</f>
        <v>10544.947273859174</v>
      </c>
      <c r="Q345" s="15">
        <f>IF(P344&gt;0,(P344*('Edistynyt vuokratuottolaskuri'!$F$7/12)),0)</f>
        <v>56.96461075191344</v>
      </c>
      <c r="R345" s="15"/>
      <c r="S345" s="15"/>
      <c r="T345" s="15"/>
      <c r="U345" s="15"/>
      <c r="V345" s="15"/>
    </row>
    <row r="346" spans="1:22" x14ac:dyDescent="0.2">
      <c r="B346" s="2">
        <v>338</v>
      </c>
      <c r="C346" s="15"/>
      <c r="D346" s="15">
        <f t="shared" si="28"/>
        <v>-22051.010729039328</v>
      </c>
      <c r="E346" s="15">
        <f>-PMT(('Edistynyt vuokratuottolaskuri'!$C$33/12),('Edistynyt vuokratuottolaskuri'!$C$34*12),('Edistynyt vuokratuottolaskuri'!$C$29),0,0)</f>
        <v>209.63805404269655</v>
      </c>
      <c r="F346" s="15">
        <f>E346-(D346*('Edistynyt vuokratuottolaskuri'!$C$33/12))</f>
        <v>246.38973859109544</v>
      </c>
      <c r="G346" s="15">
        <f>IF(Lyhennystapa="Annuiteetti",(D346-F346),IF(Lyhennystapa="Tasalyhennys",(D346-'Edistynyt vuokratuottolaskuri'!$C$38),IF(Lyhennystapa="Bullet",D345,"")))</f>
        <v>-22297.400467630425</v>
      </c>
      <c r="H346" s="15">
        <f t="shared" si="31"/>
        <v>0</v>
      </c>
      <c r="I346" s="15">
        <f>-PMT(('Edistynyt vuokratuottolaskuri'!$C$18/12),('Edistynyt vuokratuottolaskuri'!$C$19*12),('Edistynyt vuokratuottolaskuri'!$C$17),0,0)</f>
        <v>110.41614461107285</v>
      </c>
      <c r="J346" s="15">
        <f>I346-(H346*('Edistynyt vuokratuottolaskuri'!$C$18/12))</f>
        <v>110.41614461107285</v>
      </c>
      <c r="K346" s="15">
        <f t="shared" si="30"/>
        <v>0</v>
      </c>
      <c r="L346" s="15">
        <f t="shared" si="29"/>
        <v>-22297.400467630425</v>
      </c>
      <c r="M346" s="15">
        <f>'Edistynyt vuokratuottolaskuri'!$C$6-K346-G346</f>
        <v>94297.400467630418</v>
      </c>
      <c r="P346" s="15">
        <f>P345+'Edistynyt vuokratuottolaskuri'!$I$19</f>
        <v>10576.237918588726</v>
      </c>
      <c r="Q346" s="15">
        <f>IF(P345&gt;0,(P345*('Edistynyt vuokratuottolaskuri'!$F$7/12)),0)</f>
        <v>57.134148283913177</v>
      </c>
      <c r="R346" s="15"/>
      <c r="S346" s="15"/>
      <c r="T346" s="15"/>
      <c r="U346" s="15"/>
      <c r="V346" s="15"/>
    </row>
    <row r="347" spans="1:22" x14ac:dyDescent="0.2">
      <c r="B347" s="2">
        <v>339</v>
      </c>
      <c r="C347" s="15"/>
      <c r="D347" s="15">
        <f t="shared" si="28"/>
        <v>-22297.400467630425</v>
      </c>
      <c r="E347" s="15">
        <f>-PMT(('Edistynyt vuokratuottolaskuri'!$C$33/12),('Edistynyt vuokratuottolaskuri'!$C$34*12),('Edistynyt vuokratuottolaskuri'!$C$29),0,0)</f>
        <v>209.63805404269655</v>
      </c>
      <c r="F347" s="15">
        <f>E347-(D347*('Edistynyt vuokratuottolaskuri'!$C$33/12))</f>
        <v>246.80038815541394</v>
      </c>
      <c r="G347" s="15">
        <f>IF(Lyhennystapa="Annuiteetti",(D347-F347),IF(Lyhennystapa="Tasalyhennys",(D347-'Edistynyt vuokratuottolaskuri'!$C$38),IF(Lyhennystapa="Bullet",D346,"")))</f>
        <v>-22544.200855785839</v>
      </c>
      <c r="H347" s="15">
        <f t="shared" si="31"/>
        <v>0</v>
      </c>
      <c r="I347" s="15">
        <f>-PMT(('Edistynyt vuokratuottolaskuri'!$C$18/12),('Edistynyt vuokratuottolaskuri'!$C$19*12),('Edistynyt vuokratuottolaskuri'!$C$17),0,0)</f>
        <v>110.41614461107285</v>
      </c>
      <c r="J347" s="15">
        <f>I347-(H347*('Edistynyt vuokratuottolaskuri'!$C$18/12))</f>
        <v>110.41614461107285</v>
      </c>
      <c r="K347" s="15">
        <f t="shared" si="30"/>
        <v>0</v>
      </c>
      <c r="L347" s="15">
        <f t="shared" si="29"/>
        <v>-22544.200855785839</v>
      </c>
      <c r="M347" s="15">
        <f>'Edistynyt vuokratuottolaskuri'!$C$6-K347-G347</f>
        <v>94544.200855785835</v>
      </c>
      <c r="P347" s="15">
        <f>P346+'Edistynyt vuokratuottolaskuri'!$I$19</f>
        <v>10607.528563318278</v>
      </c>
      <c r="Q347" s="15">
        <f>IF(P346&gt;0,(P346*('Edistynyt vuokratuottolaskuri'!$F$7/12)),0)</f>
        <v>57.303685815912914</v>
      </c>
      <c r="R347" s="15"/>
      <c r="S347" s="15"/>
      <c r="T347" s="15"/>
      <c r="U347" s="15"/>
      <c r="V347" s="15"/>
    </row>
    <row r="348" spans="1:22" x14ac:dyDescent="0.2">
      <c r="B348" s="2">
        <v>340</v>
      </c>
      <c r="C348" s="15"/>
      <c r="D348" s="15">
        <f t="shared" si="28"/>
        <v>-22544.200855785839</v>
      </c>
      <c r="E348" s="15">
        <f>-PMT(('Edistynyt vuokratuottolaskuri'!$C$33/12),('Edistynyt vuokratuottolaskuri'!$C$34*12),('Edistynyt vuokratuottolaskuri'!$C$29),0,0)</f>
        <v>209.63805404269655</v>
      </c>
      <c r="F348" s="15">
        <f>E348-(D348*('Edistynyt vuokratuottolaskuri'!$C$33/12))</f>
        <v>247.21172213567294</v>
      </c>
      <c r="G348" s="15">
        <f>IF(Lyhennystapa="Annuiteetti",(D348-F348),IF(Lyhennystapa="Tasalyhennys",(D348-'Edistynyt vuokratuottolaskuri'!$C$38),IF(Lyhennystapa="Bullet",D347,"")))</f>
        <v>-22791.41257792151</v>
      </c>
      <c r="H348" s="15">
        <f t="shared" si="31"/>
        <v>0</v>
      </c>
      <c r="I348" s="15">
        <f>-PMT(('Edistynyt vuokratuottolaskuri'!$C$18/12),('Edistynyt vuokratuottolaskuri'!$C$19*12),('Edistynyt vuokratuottolaskuri'!$C$17),0,0)</f>
        <v>110.41614461107285</v>
      </c>
      <c r="J348" s="15">
        <f>I348-(H348*('Edistynyt vuokratuottolaskuri'!$C$18/12))</f>
        <v>110.41614461107285</v>
      </c>
      <c r="K348" s="15">
        <f t="shared" si="30"/>
        <v>0</v>
      </c>
      <c r="L348" s="15">
        <f t="shared" si="29"/>
        <v>-22791.41257792151</v>
      </c>
      <c r="M348" s="15">
        <f>'Edistynyt vuokratuottolaskuri'!$C$6-K348-G348</f>
        <v>94791.41257792151</v>
      </c>
      <c r="P348" s="15">
        <f>P347+'Edistynyt vuokratuottolaskuri'!$I$19</f>
        <v>10638.819208047829</v>
      </c>
      <c r="Q348" s="15">
        <f>IF(P347&gt;0,(P347*('Edistynyt vuokratuottolaskuri'!$F$7/12)),0)</f>
        <v>57.473223347912651</v>
      </c>
      <c r="R348" s="15"/>
      <c r="S348" s="15"/>
      <c r="T348" s="15"/>
      <c r="U348" s="15"/>
      <c r="V348" s="15"/>
    </row>
    <row r="349" spans="1:22" x14ac:dyDescent="0.2">
      <c r="B349" s="2">
        <v>341</v>
      </c>
      <c r="C349" s="15"/>
      <c r="D349" s="15">
        <f t="shared" si="28"/>
        <v>-22791.41257792151</v>
      </c>
      <c r="E349" s="15">
        <f>-PMT(('Edistynyt vuokratuottolaskuri'!$C$33/12),('Edistynyt vuokratuottolaskuri'!$C$34*12),('Edistynyt vuokratuottolaskuri'!$C$29),0,0)</f>
        <v>209.63805404269655</v>
      </c>
      <c r="F349" s="15">
        <f>E349-(D349*('Edistynyt vuokratuottolaskuri'!$C$33/12))</f>
        <v>247.62374167256573</v>
      </c>
      <c r="G349" s="15">
        <f>IF(Lyhennystapa="Annuiteetti",(D349-F349),IF(Lyhennystapa="Tasalyhennys",(D349-'Edistynyt vuokratuottolaskuri'!$C$38),IF(Lyhennystapa="Bullet",D348,"")))</f>
        <v>-23039.036319594077</v>
      </c>
      <c r="H349" s="15">
        <f t="shared" si="31"/>
        <v>0</v>
      </c>
      <c r="I349" s="15">
        <f>-PMT(('Edistynyt vuokratuottolaskuri'!$C$18/12),('Edistynyt vuokratuottolaskuri'!$C$19*12),('Edistynyt vuokratuottolaskuri'!$C$17),0,0)</f>
        <v>110.41614461107285</v>
      </c>
      <c r="J349" s="15">
        <f>I349-(H349*('Edistynyt vuokratuottolaskuri'!$C$18/12))</f>
        <v>110.41614461107285</v>
      </c>
      <c r="K349" s="15">
        <f t="shared" si="30"/>
        <v>0</v>
      </c>
      <c r="L349" s="15">
        <f t="shared" si="29"/>
        <v>-23039.036319594077</v>
      </c>
      <c r="M349" s="15">
        <f>'Edistynyt vuokratuottolaskuri'!$C$6-K349-G349</f>
        <v>95039.036319594074</v>
      </c>
      <c r="P349" s="15">
        <f>P348+'Edistynyt vuokratuottolaskuri'!$I$19</f>
        <v>10670.109852777381</v>
      </c>
      <c r="Q349" s="15">
        <f>IF(P348&gt;0,(P348*('Edistynyt vuokratuottolaskuri'!$F$7/12)),0)</f>
        <v>57.642760879912395</v>
      </c>
      <c r="R349" s="15"/>
      <c r="S349" s="15"/>
      <c r="T349" s="15"/>
      <c r="U349" s="15"/>
      <c r="V349" s="15"/>
    </row>
    <row r="350" spans="1:22" x14ac:dyDescent="0.2">
      <c r="B350" s="2">
        <v>342</v>
      </c>
      <c r="C350" s="15"/>
      <c r="D350" s="15">
        <f t="shared" si="28"/>
        <v>-23039.036319594077</v>
      </c>
      <c r="E350" s="15">
        <f>-PMT(('Edistynyt vuokratuottolaskuri'!$C$33/12),('Edistynyt vuokratuottolaskuri'!$C$34*12),('Edistynyt vuokratuottolaskuri'!$C$29),0,0)</f>
        <v>209.63805404269655</v>
      </c>
      <c r="F350" s="15">
        <f>E350-(D350*('Edistynyt vuokratuottolaskuri'!$C$33/12))</f>
        <v>248.03644790868668</v>
      </c>
      <c r="G350" s="15">
        <f>IF(Lyhennystapa="Annuiteetti",(D350-F350),IF(Lyhennystapa="Tasalyhennys",(D350-'Edistynyt vuokratuottolaskuri'!$C$38),IF(Lyhennystapa="Bullet",D349,"")))</f>
        <v>-23287.072767502763</v>
      </c>
      <c r="H350" s="15">
        <f t="shared" si="31"/>
        <v>0</v>
      </c>
      <c r="I350" s="15">
        <f>-PMT(('Edistynyt vuokratuottolaskuri'!$C$18/12),('Edistynyt vuokratuottolaskuri'!$C$19*12),('Edistynyt vuokratuottolaskuri'!$C$17),0,0)</f>
        <v>110.41614461107285</v>
      </c>
      <c r="J350" s="15">
        <f>I350-(H350*('Edistynyt vuokratuottolaskuri'!$C$18/12))</f>
        <v>110.41614461107285</v>
      </c>
      <c r="K350" s="15">
        <f t="shared" si="30"/>
        <v>0</v>
      </c>
      <c r="L350" s="15">
        <f t="shared" si="29"/>
        <v>-23287.072767502763</v>
      </c>
      <c r="M350" s="15">
        <f>'Edistynyt vuokratuottolaskuri'!$C$6-K350-G350</f>
        <v>95287.072767502759</v>
      </c>
      <c r="P350" s="15">
        <f>P349+'Edistynyt vuokratuottolaskuri'!$I$19</f>
        <v>10701.400497506933</v>
      </c>
      <c r="Q350" s="15">
        <f>IF(P349&gt;0,(P349*('Edistynyt vuokratuottolaskuri'!$F$7/12)),0)</f>
        <v>57.812298411912131</v>
      </c>
      <c r="R350" s="15"/>
      <c r="S350" s="15"/>
      <c r="T350" s="15"/>
      <c r="U350" s="15"/>
      <c r="V350" s="15"/>
    </row>
    <row r="351" spans="1:22" x14ac:dyDescent="0.2">
      <c r="B351" s="2">
        <v>343</v>
      </c>
      <c r="C351" s="15"/>
      <c r="D351" s="15">
        <f t="shared" si="28"/>
        <v>-23287.072767502763</v>
      </c>
      <c r="E351" s="15">
        <f>-PMT(('Edistynyt vuokratuottolaskuri'!$C$33/12),('Edistynyt vuokratuottolaskuri'!$C$34*12),('Edistynyt vuokratuottolaskuri'!$C$29),0,0)</f>
        <v>209.63805404269655</v>
      </c>
      <c r="F351" s="15">
        <f>E351-(D351*('Edistynyt vuokratuottolaskuri'!$C$33/12))</f>
        <v>248.4498419885345</v>
      </c>
      <c r="G351" s="15">
        <f>IF(Lyhennystapa="Annuiteetti",(D351-F351),IF(Lyhennystapa="Tasalyhennys",(D351-'Edistynyt vuokratuottolaskuri'!$C$38),IF(Lyhennystapa="Bullet",D350,"")))</f>
        <v>-23535.522609491298</v>
      </c>
      <c r="H351" s="15">
        <f t="shared" si="31"/>
        <v>0</v>
      </c>
      <c r="I351" s="15">
        <f>-PMT(('Edistynyt vuokratuottolaskuri'!$C$18/12),('Edistynyt vuokratuottolaskuri'!$C$19*12),('Edistynyt vuokratuottolaskuri'!$C$17),0,0)</f>
        <v>110.41614461107285</v>
      </c>
      <c r="J351" s="15">
        <f>I351-(H351*('Edistynyt vuokratuottolaskuri'!$C$18/12))</f>
        <v>110.41614461107285</v>
      </c>
      <c r="K351" s="15">
        <f t="shared" si="30"/>
        <v>0</v>
      </c>
      <c r="L351" s="15">
        <f t="shared" si="29"/>
        <v>-23535.522609491298</v>
      </c>
      <c r="M351" s="15">
        <f>'Edistynyt vuokratuottolaskuri'!$C$6-K351-G351</f>
        <v>95535.522609491294</v>
      </c>
      <c r="P351" s="15">
        <f>P350+'Edistynyt vuokratuottolaskuri'!$I$19</f>
        <v>10732.691142236485</v>
      </c>
      <c r="Q351" s="15">
        <f>IF(P350&gt;0,(P350*('Edistynyt vuokratuottolaskuri'!$F$7/12)),0)</f>
        <v>57.981835943911868</v>
      </c>
      <c r="R351" s="15"/>
      <c r="S351" s="15"/>
      <c r="T351" s="15"/>
      <c r="U351" s="15"/>
      <c r="V351" s="15"/>
    </row>
    <row r="352" spans="1:22" x14ac:dyDescent="0.2">
      <c r="B352" s="2">
        <v>344</v>
      </c>
      <c r="C352" s="15"/>
      <c r="D352" s="15">
        <f t="shared" si="28"/>
        <v>-23535.522609491298</v>
      </c>
      <c r="E352" s="15">
        <f>-PMT(('Edistynyt vuokratuottolaskuri'!$C$33/12),('Edistynyt vuokratuottolaskuri'!$C$34*12),('Edistynyt vuokratuottolaskuri'!$C$29),0,0)</f>
        <v>209.63805404269655</v>
      </c>
      <c r="F352" s="15">
        <f>E352-(D352*('Edistynyt vuokratuottolaskuri'!$C$33/12))</f>
        <v>248.86392505851538</v>
      </c>
      <c r="G352" s="15">
        <f>IF(Valitse="Annuiteetti",(D352-F352),(G351-'Edistynyt vuokratuottolaskuri'!$C$38))</f>
        <v>-23676.093996867326</v>
      </c>
      <c r="H352" s="15">
        <f t="shared" si="31"/>
        <v>0</v>
      </c>
      <c r="I352" s="15">
        <f>-PMT(('Edistynyt vuokratuottolaskuri'!$C$18/12),('Edistynyt vuokratuottolaskuri'!$C$19*12),('Edistynyt vuokratuottolaskuri'!$C$17),0,0)</f>
        <v>110.41614461107285</v>
      </c>
      <c r="J352" s="15">
        <f>I352-(H352*('Edistynyt vuokratuottolaskuri'!$C$18/12))</f>
        <v>110.41614461107285</v>
      </c>
      <c r="K352" s="15">
        <f t="shared" si="30"/>
        <v>0</v>
      </c>
      <c r="L352" s="15">
        <f t="shared" si="29"/>
        <v>-23676.093996867326</v>
      </c>
      <c r="M352" s="15">
        <f>'Edistynyt vuokratuottolaskuri'!$C$6-K352-G352</f>
        <v>95676.093996867334</v>
      </c>
      <c r="P352" s="15">
        <f>P351+'Edistynyt vuokratuottolaskuri'!$I$19</f>
        <v>10763.981786966036</v>
      </c>
      <c r="Q352" s="15">
        <f>IF(P351&gt;0,(P351*('Edistynyt vuokratuottolaskuri'!$F$7/12)),0)</f>
        <v>58.151373475911612</v>
      </c>
      <c r="R352" s="15"/>
      <c r="S352" s="15"/>
      <c r="T352" s="15"/>
      <c r="U352" s="15"/>
      <c r="V352" s="15"/>
    </row>
    <row r="353" spans="1:22" x14ac:dyDescent="0.2">
      <c r="B353" s="2">
        <v>345</v>
      </c>
      <c r="C353" s="15"/>
      <c r="D353" s="15">
        <f t="shared" si="28"/>
        <v>-23676.093996867326</v>
      </c>
      <c r="E353" s="15">
        <f>-PMT(('Edistynyt vuokratuottolaskuri'!$C$33/12),('Edistynyt vuokratuottolaskuri'!$C$34*12),('Edistynyt vuokratuottolaskuri'!$C$29),0,0)</f>
        <v>209.63805404269655</v>
      </c>
      <c r="F353" s="15">
        <f>E353-(D353*('Edistynyt vuokratuottolaskuri'!$C$33/12))</f>
        <v>249.0982107041421</v>
      </c>
      <c r="G353" s="15">
        <f>IF(Valitse="Annuiteetti",(D353-F353),(G352-'Edistynyt vuokratuottolaskuri'!$C$38))</f>
        <v>-23816.665384243355</v>
      </c>
      <c r="H353" s="15">
        <f t="shared" si="31"/>
        <v>0</v>
      </c>
      <c r="I353" s="15">
        <f>-PMT(('Edistynyt vuokratuottolaskuri'!$C$18/12),('Edistynyt vuokratuottolaskuri'!$C$19*12),('Edistynyt vuokratuottolaskuri'!$C$17),0,0)</f>
        <v>110.41614461107285</v>
      </c>
      <c r="J353" s="15">
        <f>I353-(H353*('Edistynyt vuokratuottolaskuri'!$C$18/12))</f>
        <v>110.41614461107285</v>
      </c>
      <c r="K353" s="15">
        <f t="shared" si="30"/>
        <v>0</v>
      </c>
      <c r="L353" s="15">
        <f t="shared" si="29"/>
        <v>-23816.665384243355</v>
      </c>
      <c r="M353" s="15">
        <f>'Edistynyt vuokratuottolaskuri'!$C$6-K353-G353</f>
        <v>95816.665384243359</v>
      </c>
      <c r="P353" s="15">
        <f>P352+'Edistynyt vuokratuottolaskuri'!$I$19</f>
        <v>10795.272431695588</v>
      </c>
      <c r="Q353" s="15">
        <f>IF(P352&gt;0,(P352*('Edistynyt vuokratuottolaskuri'!$F$7/12)),0)</f>
        <v>58.320911007911349</v>
      </c>
      <c r="R353" s="15"/>
      <c r="S353" s="15"/>
      <c r="T353" s="15"/>
      <c r="U353" s="15"/>
      <c r="V353" s="15"/>
    </row>
    <row r="354" spans="1:22" x14ac:dyDescent="0.2">
      <c r="B354" s="2">
        <v>346</v>
      </c>
      <c r="C354" s="15"/>
      <c r="D354" s="15">
        <f t="shared" si="28"/>
        <v>-23816.665384243355</v>
      </c>
      <c r="E354" s="15">
        <f>-PMT(('Edistynyt vuokratuottolaskuri'!$C$33/12),('Edistynyt vuokratuottolaskuri'!$C$34*12),('Edistynyt vuokratuottolaskuri'!$C$29),0,0)</f>
        <v>209.63805404269655</v>
      </c>
      <c r="F354" s="15">
        <f>E354-(D354*('Edistynyt vuokratuottolaskuri'!$C$33/12))</f>
        <v>249.3324963497688</v>
      </c>
      <c r="G354" s="15">
        <f>IF(Valitse="Annuiteetti",(D354-F354),(G353-'Edistynyt vuokratuottolaskuri'!$C$38))</f>
        <v>-23957.236771619384</v>
      </c>
      <c r="H354" s="15">
        <f t="shared" si="31"/>
        <v>0</v>
      </c>
      <c r="I354" s="15">
        <f>-PMT(('Edistynyt vuokratuottolaskuri'!$C$18/12),('Edistynyt vuokratuottolaskuri'!$C$19*12),('Edistynyt vuokratuottolaskuri'!$C$17),0,0)</f>
        <v>110.41614461107285</v>
      </c>
      <c r="J354" s="15">
        <f>I354-(H354*('Edistynyt vuokratuottolaskuri'!$C$18/12))</f>
        <v>110.41614461107285</v>
      </c>
      <c r="K354" s="15">
        <f t="shared" si="30"/>
        <v>0</v>
      </c>
      <c r="L354" s="15">
        <f t="shared" si="29"/>
        <v>-23957.236771619384</v>
      </c>
      <c r="M354" s="15">
        <f>'Edistynyt vuokratuottolaskuri'!$C$6-K354-G354</f>
        <v>95957.236771619384</v>
      </c>
      <c r="P354" s="15">
        <f>P353+'Edistynyt vuokratuottolaskuri'!$I$19</f>
        <v>10826.56307642514</v>
      </c>
      <c r="Q354" s="15">
        <f>IF(P353&gt;0,(P353*('Edistynyt vuokratuottolaskuri'!$F$7/12)),0)</f>
        <v>58.490448539911085</v>
      </c>
      <c r="R354" s="15"/>
      <c r="S354" s="15"/>
      <c r="T354" s="15"/>
      <c r="U354" s="15"/>
      <c r="V354" s="15"/>
    </row>
    <row r="355" spans="1:22" x14ac:dyDescent="0.2">
      <c r="B355" s="2">
        <v>347</v>
      </c>
      <c r="C355" s="15"/>
      <c r="D355" s="15">
        <f t="shared" si="28"/>
        <v>-23957.236771619384</v>
      </c>
      <c r="E355" s="15">
        <f>-PMT(('Edistynyt vuokratuottolaskuri'!$C$33/12),('Edistynyt vuokratuottolaskuri'!$C$34*12),('Edistynyt vuokratuottolaskuri'!$C$29),0,0)</f>
        <v>209.63805404269655</v>
      </c>
      <c r="F355" s="15">
        <f>E355-(D355*('Edistynyt vuokratuottolaskuri'!$C$33/12))</f>
        <v>249.56678199539553</v>
      </c>
      <c r="G355" s="15">
        <f>IF(Valitse="Annuiteetti",(D355-F355),(G354-'Edistynyt vuokratuottolaskuri'!$C$38))</f>
        <v>-24097.808158995413</v>
      </c>
      <c r="H355" s="15">
        <f t="shared" si="31"/>
        <v>0</v>
      </c>
      <c r="I355" s="15">
        <f>-PMT(('Edistynyt vuokratuottolaskuri'!$C$18/12),('Edistynyt vuokratuottolaskuri'!$C$19*12),('Edistynyt vuokratuottolaskuri'!$C$17),0,0)</f>
        <v>110.41614461107285</v>
      </c>
      <c r="J355" s="15">
        <f>I355-(H355*('Edistynyt vuokratuottolaskuri'!$C$18/12))</f>
        <v>110.41614461107285</v>
      </c>
      <c r="K355" s="15">
        <f t="shared" si="30"/>
        <v>0</v>
      </c>
      <c r="L355" s="15">
        <f t="shared" si="29"/>
        <v>-24097.808158995413</v>
      </c>
      <c r="M355" s="15">
        <f>'Edistynyt vuokratuottolaskuri'!$C$6-K355-G355</f>
        <v>96097.808158995409</v>
      </c>
      <c r="P355" s="15">
        <f>P354+'Edistynyt vuokratuottolaskuri'!$I$19</f>
        <v>10857.853721154692</v>
      </c>
      <c r="Q355" s="15">
        <f>IF(P354&gt;0,(P354*('Edistynyt vuokratuottolaskuri'!$F$7/12)),0)</f>
        <v>58.659986071910822</v>
      </c>
      <c r="R355" s="15"/>
      <c r="S355" s="15"/>
      <c r="T355" s="15"/>
      <c r="U355" s="15"/>
      <c r="V355" s="15"/>
    </row>
    <row r="356" spans="1:22" x14ac:dyDescent="0.2">
      <c r="B356" s="2">
        <v>348</v>
      </c>
      <c r="C356" s="15"/>
      <c r="D356" s="15">
        <f t="shared" si="28"/>
        <v>-24097.808158995413</v>
      </c>
      <c r="E356" s="15">
        <f>-PMT(('Edistynyt vuokratuottolaskuri'!$C$33/12),('Edistynyt vuokratuottolaskuri'!$C$34*12),('Edistynyt vuokratuottolaskuri'!$C$29),0,0)</f>
        <v>209.63805404269655</v>
      </c>
      <c r="F356" s="15">
        <f>E356-(D356*('Edistynyt vuokratuottolaskuri'!$C$33/12))</f>
        <v>249.80106764102226</v>
      </c>
      <c r="G356" s="15">
        <f>IF(Valitse="Annuiteetti",(D356-F356),(G355-'Edistynyt vuokratuottolaskuri'!$C$38))</f>
        <v>-24238.379546371441</v>
      </c>
      <c r="H356" s="15">
        <f t="shared" si="31"/>
        <v>0</v>
      </c>
      <c r="I356" s="15">
        <f>-PMT(('Edistynyt vuokratuottolaskuri'!$C$18/12),('Edistynyt vuokratuottolaskuri'!$C$19*12),('Edistynyt vuokratuottolaskuri'!$C$17),0,0)</f>
        <v>110.41614461107285</v>
      </c>
      <c r="J356" s="15">
        <f>I356-(H356*('Edistynyt vuokratuottolaskuri'!$C$18/12))</f>
        <v>110.41614461107285</v>
      </c>
      <c r="K356" s="15">
        <f t="shared" si="30"/>
        <v>0</v>
      </c>
      <c r="L356" s="15">
        <f t="shared" si="29"/>
        <v>-24238.379546371441</v>
      </c>
      <c r="M356" s="15">
        <f>'Edistynyt vuokratuottolaskuri'!$C$6-K356-G356</f>
        <v>96238.379546371434</v>
      </c>
      <c r="P356" s="15">
        <f>P355+'Edistynyt vuokratuottolaskuri'!$I$19</f>
        <v>10889.144365884244</v>
      </c>
      <c r="Q356" s="15">
        <f>IF(P355&gt;0,(P355*('Edistynyt vuokratuottolaskuri'!$F$7/12)),0)</f>
        <v>58.829523603910566</v>
      </c>
      <c r="R356" s="15"/>
      <c r="S356" s="15"/>
      <c r="T356" s="15"/>
      <c r="U356" s="15"/>
      <c r="V356" s="15"/>
    </row>
    <row r="357" spans="1:22" x14ac:dyDescent="0.2">
      <c r="A357" s="2" t="s">
        <v>64</v>
      </c>
      <c r="B357" s="2">
        <v>349</v>
      </c>
      <c r="C357" s="15">
        <f>C345+('Edistynyt vuokratuottolaskuri'!$C$52*C345)</f>
        <v>102756.79849567692</v>
      </c>
      <c r="D357" s="15">
        <f t="shared" si="28"/>
        <v>-24238.379546371441</v>
      </c>
      <c r="E357" s="15">
        <f>-PMT(('Edistynyt vuokratuottolaskuri'!$C$33/12),('Edistynyt vuokratuottolaskuri'!$C$34*12),('Edistynyt vuokratuottolaskuri'!$C$29),0,0)</f>
        <v>209.63805404269655</v>
      </c>
      <c r="F357" s="15">
        <f>E357-(D357*('Edistynyt vuokratuottolaskuri'!$C$33/12))</f>
        <v>250.03535328664896</v>
      </c>
      <c r="G357" s="15">
        <f>IF(Valitse="Annuiteetti",(D357-F357),(G356-'Edistynyt vuokratuottolaskuri'!$C$38))</f>
        <v>-24378.95093374747</v>
      </c>
      <c r="H357" s="15">
        <f t="shared" si="31"/>
        <v>0</v>
      </c>
      <c r="I357" s="15">
        <f>-PMT(('Edistynyt vuokratuottolaskuri'!$C$18/12),('Edistynyt vuokratuottolaskuri'!$C$19*12),('Edistynyt vuokratuottolaskuri'!$C$17),0,0)</f>
        <v>110.41614461107285</v>
      </c>
      <c r="J357" s="15">
        <f>I357-(H357*('Edistynyt vuokratuottolaskuri'!$C$18/12))</f>
        <v>110.41614461107285</v>
      </c>
      <c r="K357" s="15">
        <f t="shared" si="30"/>
        <v>0</v>
      </c>
      <c r="L357" s="15">
        <f t="shared" si="29"/>
        <v>-24378.95093374747</v>
      </c>
      <c r="M357" s="15">
        <f>'Edistynyt vuokratuottolaskuri'!$C$6-K357-G357</f>
        <v>96378.950933747474</v>
      </c>
      <c r="P357" s="15">
        <f>P356+'Edistynyt vuokratuottolaskuri'!$I$19</f>
        <v>10920.435010613795</v>
      </c>
      <c r="Q357" s="15">
        <f>IF(P356&gt;0,(P356*('Edistynyt vuokratuottolaskuri'!$F$7/12)),0)</f>
        <v>58.999061135910303</v>
      </c>
      <c r="R357" s="15"/>
      <c r="S357" s="15"/>
      <c r="T357" s="15"/>
      <c r="U357" s="15"/>
      <c r="V357" s="15"/>
    </row>
    <row r="358" spans="1:22" x14ac:dyDescent="0.2">
      <c r="B358" s="2">
        <v>350</v>
      </c>
      <c r="C358" s="15"/>
      <c r="D358" s="15">
        <f t="shared" si="28"/>
        <v>-24378.95093374747</v>
      </c>
      <c r="E358" s="15">
        <f>-PMT(('Edistynyt vuokratuottolaskuri'!$C$33/12),('Edistynyt vuokratuottolaskuri'!$C$34*12),('Edistynyt vuokratuottolaskuri'!$C$29),0,0)</f>
        <v>209.63805404269655</v>
      </c>
      <c r="F358" s="15">
        <f>E358-(D358*('Edistynyt vuokratuottolaskuri'!$C$33/12))</f>
        <v>250.26963893227565</v>
      </c>
      <c r="G358" s="15">
        <f>IF(Valitse="Annuiteetti",(D358-F358),(G357-'Edistynyt vuokratuottolaskuri'!$C$38))</f>
        <v>-24519.522321123499</v>
      </c>
      <c r="H358" s="15">
        <f t="shared" si="31"/>
        <v>0</v>
      </c>
      <c r="I358" s="15">
        <f>-PMT(('Edistynyt vuokratuottolaskuri'!$C$18/12),('Edistynyt vuokratuottolaskuri'!$C$19*12),('Edistynyt vuokratuottolaskuri'!$C$17),0,0)</f>
        <v>110.41614461107285</v>
      </c>
      <c r="J358" s="15">
        <f>I358-(H358*('Edistynyt vuokratuottolaskuri'!$C$18/12))</f>
        <v>110.41614461107285</v>
      </c>
      <c r="K358" s="15">
        <f t="shared" si="30"/>
        <v>0</v>
      </c>
      <c r="L358" s="15">
        <f t="shared" si="29"/>
        <v>-24519.522321123499</v>
      </c>
      <c r="M358" s="15">
        <f>'Edistynyt vuokratuottolaskuri'!$C$6-K358-G358</f>
        <v>96519.522321123499</v>
      </c>
      <c r="P358" s="15">
        <f>P357+'Edistynyt vuokratuottolaskuri'!$I$19</f>
        <v>10951.725655343347</v>
      </c>
      <c r="Q358" s="15">
        <f>IF(P357&gt;0,(P357*('Edistynyt vuokratuottolaskuri'!$F$7/12)),0)</f>
        <v>59.16859866791004</v>
      </c>
      <c r="R358" s="15"/>
      <c r="S358" s="15"/>
      <c r="T358" s="15"/>
      <c r="U358" s="15"/>
      <c r="V358" s="15"/>
    </row>
    <row r="359" spans="1:22" x14ac:dyDescent="0.2">
      <c r="B359" s="2">
        <v>351</v>
      </c>
      <c r="C359" s="15"/>
      <c r="D359" s="15">
        <f t="shared" si="28"/>
        <v>-24519.522321123499</v>
      </c>
      <c r="E359" s="15">
        <f>-PMT(('Edistynyt vuokratuottolaskuri'!$C$33/12),('Edistynyt vuokratuottolaskuri'!$C$34*12),('Edistynyt vuokratuottolaskuri'!$C$29),0,0)</f>
        <v>209.63805404269655</v>
      </c>
      <c r="F359" s="15">
        <f>E359-(D359*('Edistynyt vuokratuottolaskuri'!$C$33/12))</f>
        <v>250.50392457790238</v>
      </c>
      <c r="G359" s="15">
        <f>IF(Valitse="Annuiteetti",(D359-F359),(G358-'Edistynyt vuokratuottolaskuri'!$C$38))</f>
        <v>-24660.093708499528</v>
      </c>
      <c r="H359" s="15">
        <f t="shared" si="31"/>
        <v>0</v>
      </c>
      <c r="I359" s="15">
        <f>-PMT(('Edistynyt vuokratuottolaskuri'!$C$18/12),('Edistynyt vuokratuottolaskuri'!$C$19*12),('Edistynyt vuokratuottolaskuri'!$C$17),0,0)</f>
        <v>110.41614461107285</v>
      </c>
      <c r="J359" s="15">
        <f>I359-(H359*('Edistynyt vuokratuottolaskuri'!$C$18/12))</f>
        <v>110.41614461107285</v>
      </c>
      <c r="K359" s="15">
        <f t="shared" si="30"/>
        <v>0</v>
      </c>
      <c r="L359" s="15">
        <f t="shared" si="29"/>
        <v>-24660.093708499528</v>
      </c>
      <c r="M359" s="15">
        <f>'Edistynyt vuokratuottolaskuri'!$C$6-K359-G359</f>
        <v>96660.093708499524</v>
      </c>
      <c r="P359" s="15">
        <f>P358+'Edistynyt vuokratuottolaskuri'!$I$19</f>
        <v>10983.016300072899</v>
      </c>
      <c r="Q359" s="15">
        <f>IF(P358&gt;0,(P358*('Edistynyt vuokratuottolaskuri'!$F$7/12)),0)</f>
        <v>59.338136199909783</v>
      </c>
      <c r="R359" s="15"/>
      <c r="S359" s="15"/>
      <c r="T359" s="15"/>
      <c r="U359" s="15"/>
      <c r="V359" s="15"/>
    </row>
    <row r="360" spans="1:22" x14ac:dyDescent="0.2">
      <c r="B360" s="2">
        <v>352</v>
      </c>
      <c r="C360" s="15"/>
      <c r="D360" s="15">
        <f t="shared" si="28"/>
        <v>-24660.093708499528</v>
      </c>
      <c r="E360" s="15">
        <f>-PMT(('Edistynyt vuokratuottolaskuri'!$C$33/12),('Edistynyt vuokratuottolaskuri'!$C$34*12),('Edistynyt vuokratuottolaskuri'!$C$29),0,0)</f>
        <v>209.63805404269655</v>
      </c>
      <c r="F360" s="15">
        <f>E360-(D360*('Edistynyt vuokratuottolaskuri'!$C$33/12))</f>
        <v>250.73821022352911</v>
      </c>
      <c r="G360" s="15">
        <f>IF(Valitse="Annuiteetti",(D360-F360),(G359-'Edistynyt vuokratuottolaskuri'!$C$38))</f>
        <v>-24800.665095875556</v>
      </c>
      <c r="H360" s="15">
        <f t="shared" si="31"/>
        <v>0</v>
      </c>
      <c r="I360" s="15">
        <f>-PMT(('Edistynyt vuokratuottolaskuri'!$C$18/12),('Edistynyt vuokratuottolaskuri'!$C$19*12),('Edistynyt vuokratuottolaskuri'!$C$17),0,0)</f>
        <v>110.41614461107285</v>
      </c>
      <c r="J360" s="15">
        <f>I360-(H360*('Edistynyt vuokratuottolaskuri'!$C$18/12))</f>
        <v>110.41614461107285</v>
      </c>
      <c r="K360" s="15">
        <f t="shared" si="30"/>
        <v>0</v>
      </c>
      <c r="L360" s="15">
        <f t="shared" si="29"/>
        <v>-24800.665095875556</v>
      </c>
      <c r="M360" s="15">
        <f>'Edistynyt vuokratuottolaskuri'!$C$6-K360-G360</f>
        <v>96800.665095875564</v>
      </c>
      <c r="P360" s="15">
        <f>P359+'Edistynyt vuokratuottolaskuri'!$I$19</f>
        <v>11014.306944802451</v>
      </c>
      <c r="Q360" s="15">
        <f>IF(P359&gt;0,(P359*('Edistynyt vuokratuottolaskuri'!$F$7/12)),0)</f>
        <v>59.50767373190952</v>
      </c>
      <c r="R360" s="15"/>
      <c r="S360" s="15"/>
      <c r="T360" s="15"/>
      <c r="U360" s="15"/>
      <c r="V360" s="15"/>
    </row>
    <row r="361" spans="1:22" x14ac:dyDescent="0.2">
      <c r="B361" s="2">
        <v>353</v>
      </c>
      <c r="C361" s="15"/>
      <c r="D361" s="15">
        <f t="shared" si="28"/>
        <v>-24800.665095875556</v>
      </c>
      <c r="E361" s="15">
        <f>-PMT(('Edistynyt vuokratuottolaskuri'!$C$33/12),('Edistynyt vuokratuottolaskuri'!$C$34*12),('Edistynyt vuokratuottolaskuri'!$C$29),0,0)</f>
        <v>209.63805404269655</v>
      </c>
      <c r="F361" s="15">
        <f>E361-(D361*('Edistynyt vuokratuottolaskuri'!$C$33/12))</f>
        <v>250.97249586915581</v>
      </c>
      <c r="G361" s="15">
        <f>IF(Valitse="Annuiteetti",(D361-F361),(G360-'Edistynyt vuokratuottolaskuri'!$C$38))</f>
        <v>-24941.236483251585</v>
      </c>
      <c r="H361" s="15">
        <f t="shared" si="31"/>
        <v>0</v>
      </c>
      <c r="I361" s="15">
        <f>-PMT(('Edistynyt vuokratuottolaskuri'!$C$18/12),('Edistynyt vuokratuottolaskuri'!$C$19*12),('Edistynyt vuokratuottolaskuri'!$C$17),0,0)</f>
        <v>110.41614461107285</v>
      </c>
      <c r="J361" s="15">
        <f>I361-(H361*('Edistynyt vuokratuottolaskuri'!$C$18/12))</f>
        <v>110.41614461107285</v>
      </c>
      <c r="K361" s="15">
        <f t="shared" si="30"/>
        <v>0</v>
      </c>
      <c r="L361" s="15">
        <f t="shared" si="29"/>
        <v>-24941.236483251585</v>
      </c>
      <c r="M361" s="15">
        <f>'Edistynyt vuokratuottolaskuri'!$C$6-K361-G361</f>
        <v>96941.236483251589</v>
      </c>
      <c r="P361" s="15">
        <f>P360+'Edistynyt vuokratuottolaskuri'!$I$19</f>
        <v>11045.597589532003</v>
      </c>
      <c r="Q361" s="15">
        <f>IF(P360&gt;0,(P360*('Edistynyt vuokratuottolaskuri'!$F$7/12)),0)</f>
        <v>59.677211263909257</v>
      </c>
      <c r="R361" s="15"/>
      <c r="S361" s="15"/>
      <c r="T361" s="15"/>
      <c r="U361" s="15"/>
      <c r="V361" s="15"/>
    </row>
    <row r="362" spans="1:22" x14ac:dyDescent="0.2">
      <c r="B362" s="2">
        <v>354</v>
      </c>
      <c r="C362" s="15"/>
      <c r="D362" s="15">
        <f t="shared" si="28"/>
        <v>-24941.236483251585</v>
      </c>
      <c r="E362" s="15">
        <f>-PMT(('Edistynyt vuokratuottolaskuri'!$C$33/12),('Edistynyt vuokratuottolaskuri'!$C$34*12),('Edistynyt vuokratuottolaskuri'!$C$29),0,0)</f>
        <v>209.63805404269655</v>
      </c>
      <c r="F362" s="15">
        <f>E362-(D362*('Edistynyt vuokratuottolaskuri'!$C$33/12))</f>
        <v>251.20678151478253</v>
      </c>
      <c r="G362" s="15">
        <f>IF(Valitse="Annuiteetti",(D362-F362),(G361-'Edistynyt vuokratuottolaskuri'!$C$38))</f>
        <v>-25081.807870627614</v>
      </c>
      <c r="H362" s="15">
        <f t="shared" si="31"/>
        <v>0</v>
      </c>
      <c r="I362" s="15">
        <f>-PMT(('Edistynyt vuokratuottolaskuri'!$C$18/12),('Edistynyt vuokratuottolaskuri'!$C$19*12),('Edistynyt vuokratuottolaskuri'!$C$17),0,0)</f>
        <v>110.41614461107285</v>
      </c>
      <c r="J362" s="15">
        <f>I362-(H362*('Edistynyt vuokratuottolaskuri'!$C$18/12))</f>
        <v>110.41614461107285</v>
      </c>
      <c r="K362" s="15">
        <f t="shared" si="30"/>
        <v>0</v>
      </c>
      <c r="L362" s="15">
        <f t="shared" si="29"/>
        <v>-25081.807870627614</v>
      </c>
      <c r="M362" s="15">
        <f>'Edistynyt vuokratuottolaskuri'!$C$6-K362-G362</f>
        <v>97081.807870627614</v>
      </c>
      <c r="P362" s="15">
        <f>P361+'Edistynyt vuokratuottolaskuri'!$I$19</f>
        <v>11076.888234261554</v>
      </c>
      <c r="Q362" s="15">
        <f>IF(P361&gt;0,(P361*('Edistynyt vuokratuottolaskuri'!$F$7/12)),0)</f>
        <v>59.846748795908994</v>
      </c>
      <c r="R362" s="15"/>
      <c r="S362" s="15"/>
      <c r="T362" s="15"/>
      <c r="U362" s="15"/>
      <c r="V362" s="15"/>
    </row>
    <row r="363" spans="1:22" x14ac:dyDescent="0.2">
      <c r="B363" s="2">
        <v>355</v>
      </c>
      <c r="C363" s="15"/>
      <c r="D363" s="15">
        <f t="shared" si="28"/>
        <v>-25081.807870627614</v>
      </c>
      <c r="E363" s="15">
        <f>-PMT(('Edistynyt vuokratuottolaskuri'!$C$33/12),('Edistynyt vuokratuottolaskuri'!$C$34*12),('Edistynyt vuokratuottolaskuri'!$C$29),0,0)</f>
        <v>209.63805404269655</v>
      </c>
      <c r="F363" s="15">
        <f>E363-(D363*('Edistynyt vuokratuottolaskuri'!$C$33/12))</f>
        <v>251.44106716040926</v>
      </c>
      <c r="G363" s="15">
        <f>IF(Valitse="Annuiteetti",(D363-F363),(G362-'Edistynyt vuokratuottolaskuri'!$C$38))</f>
        <v>-25222.379258003642</v>
      </c>
      <c r="H363" s="15">
        <f t="shared" si="31"/>
        <v>0</v>
      </c>
      <c r="I363" s="15">
        <f>-PMT(('Edistynyt vuokratuottolaskuri'!$C$18/12),('Edistynyt vuokratuottolaskuri'!$C$19*12),('Edistynyt vuokratuottolaskuri'!$C$17),0,0)</f>
        <v>110.41614461107285</v>
      </c>
      <c r="J363" s="15">
        <f>I363-(H363*('Edistynyt vuokratuottolaskuri'!$C$18/12))</f>
        <v>110.41614461107285</v>
      </c>
      <c r="K363" s="15">
        <f t="shared" si="30"/>
        <v>0</v>
      </c>
      <c r="L363" s="15">
        <f t="shared" si="29"/>
        <v>-25222.379258003642</v>
      </c>
      <c r="M363" s="15">
        <f>'Edistynyt vuokratuottolaskuri'!$C$6-K363-G363</f>
        <v>97222.379258003639</v>
      </c>
      <c r="P363" s="15">
        <f>P362+'Edistynyt vuokratuottolaskuri'!$I$19</f>
        <v>11108.178878991106</v>
      </c>
      <c r="Q363" s="15">
        <f>IF(P362&gt;0,(P362*('Edistynyt vuokratuottolaskuri'!$F$7/12)),0)</f>
        <v>60.016286327908738</v>
      </c>
      <c r="R363" s="15"/>
      <c r="S363" s="15"/>
      <c r="T363" s="15"/>
      <c r="U363" s="15"/>
      <c r="V363" s="15"/>
    </row>
    <row r="364" spans="1:22" x14ac:dyDescent="0.2">
      <c r="B364" s="2">
        <v>356</v>
      </c>
      <c r="C364" s="15"/>
      <c r="D364" s="15"/>
      <c r="E364" s="15"/>
      <c r="F364" s="15"/>
      <c r="G364" s="15">
        <f>G363-'Edistynyt vuokratuottolaskuri'!$C$38</f>
        <v>-25362.950645379671</v>
      </c>
      <c r="H364" s="15"/>
      <c r="I364" s="15"/>
      <c r="J364" s="15"/>
      <c r="K364" s="15"/>
      <c r="L364" s="15"/>
      <c r="P364" s="15">
        <f>P363+'Edistynyt vuokratuottolaskuri'!$I$19</f>
        <v>11139.469523720658</v>
      </c>
    </row>
    <row r="365" spans="1:22" x14ac:dyDescent="0.2">
      <c r="B365" s="2">
        <v>357</v>
      </c>
      <c r="C365" s="15"/>
      <c r="D365" s="15"/>
      <c r="E365" s="15"/>
      <c r="F365" s="15"/>
      <c r="G365" s="15">
        <f>G364-'Edistynyt vuokratuottolaskuri'!$C$38</f>
        <v>-25503.5220327557</v>
      </c>
      <c r="H365" s="15"/>
      <c r="I365" s="15"/>
      <c r="J365" s="15"/>
      <c r="K365" s="15"/>
      <c r="L365" s="15"/>
      <c r="P365" s="15">
        <f>P364+'Edistynyt vuokratuottolaskuri'!$I$19</f>
        <v>11170.76016845021</v>
      </c>
    </row>
    <row r="366" spans="1:22" x14ac:dyDescent="0.2">
      <c r="B366" s="2">
        <v>358</v>
      </c>
      <c r="C366" s="15"/>
      <c r="D366" s="15"/>
      <c r="E366" s="15"/>
      <c r="F366" s="15"/>
      <c r="G366" s="15">
        <f>G365-'Edistynyt vuokratuottolaskuri'!$C$38</f>
        <v>-25644.093420131729</v>
      </c>
      <c r="H366" s="15"/>
      <c r="I366" s="15"/>
      <c r="J366" s="15"/>
      <c r="K366" s="15"/>
      <c r="L366" s="15"/>
      <c r="P366" s="15">
        <f>P365+'Edistynyt vuokratuottolaskuri'!$I$19</f>
        <v>11202.050813179761</v>
      </c>
    </row>
    <row r="367" spans="1:22" x14ac:dyDescent="0.2">
      <c r="B367" s="2">
        <v>359</v>
      </c>
      <c r="C367" s="15"/>
      <c r="D367" s="15"/>
      <c r="E367" s="15"/>
      <c r="F367" s="15"/>
      <c r="G367" s="15">
        <f>G366-'Edistynyt vuokratuottolaskuri'!$C$38</f>
        <v>-25784.664807507757</v>
      </c>
      <c r="H367" s="15"/>
      <c r="I367" s="15"/>
      <c r="J367" s="15"/>
      <c r="K367" s="15"/>
      <c r="L367" s="15"/>
      <c r="P367" s="15">
        <f>P366+'Edistynyt vuokratuottolaskuri'!$I$19</f>
        <v>11233.341457909313</v>
      </c>
    </row>
    <row r="368" spans="1:22" x14ac:dyDescent="0.2">
      <c r="B368" s="2">
        <v>360</v>
      </c>
      <c r="C368" s="15"/>
      <c r="D368" s="15"/>
      <c r="E368" s="15"/>
      <c r="F368" s="15"/>
      <c r="G368" s="15"/>
      <c r="H368" s="15"/>
      <c r="I368" s="15"/>
      <c r="J368" s="15"/>
      <c r="K368" s="15"/>
      <c r="L368" s="15"/>
      <c r="P368" s="15">
        <f>P367+'Edistynyt vuokratuottolaskuri'!$I$19</f>
        <v>11264.632102638865</v>
      </c>
    </row>
    <row r="369" spans="1:16" x14ac:dyDescent="0.2">
      <c r="A369" s="2" t="s">
        <v>65</v>
      </c>
      <c r="B369" s="2">
        <v>361</v>
      </c>
      <c r="C369" s="15">
        <f>C357+('Edistynyt vuokratuottolaskuri'!$C$52*C357)</f>
        <v>103784.36648063369</v>
      </c>
      <c r="D369" s="15"/>
      <c r="E369" s="15"/>
      <c r="F369" s="15"/>
      <c r="G369" s="15"/>
      <c r="H369" s="15"/>
      <c r="I369" s="15"/>
      <c r="J369" s="15"/>
      <c r="K369" s="15"/>
      <c r="L369" s="15"/>
      <c r="P369" s="15">
        <f>P368+'Edistynyt vuokratuottolaskuri'!$I$19</f>
        <v>11295.922747368417</v>
      </c>
    </row>
    <row r="370" spans="1:16" x14ac:dyDescent="0.2">
      <c r="B370" s="2">
        <v>362</v>
      </c>
      <c r="C370" s="15"/>
      <c r="D370" s="15"/>
      <c r="E370" s="15"/>
      <c r="F370" s="15"/>
      <c r="G370" s="15"/>
      <c r="H370" s="15"/>
      <c r="I370" s="15"/>
      <c r="J370" s="15"/>
      <c r="K370" s="15"/>
      <c r="L370" s="15"/>
      <c r="P370" s="15">
        <f>P369+'Edistynyt vuokratuottolaskuri'!$I$19</f>
        <v>11327.213392097969</v>
      </c>
    </row>
    <row r="371" spans="1:16" x14ac:dyDescent="0.2">
      <c r="B371" s="2">
        <v>363</v>
      </c>
      <c r="C371" s="15"/>
      <c r="D371" s="15"/>
      <c r="E371" s="15"/>
      <c r="F371" s="15"/>
      <c r="G371" s="15"/>
      <c r="H371" s="15"/>
      <c r="I371" s="15"/>
      <c r="J371" s="15"/>
      <c r="K371" s="15"/>
      <c r="L371" s="15"/>
      <c r="P371" s="15">
        <f>P370+'Edistynyt vuokratuottolaskuri'!$I$19</f>
        <v>11358.50403682752</v>
      </c>
    </row>
    <row r="372" spans="1:16" x14ac:dyDescent="0.2">
      <c r="B372" s="2">
        <v>364</v>
      </c>
      <c r="C372" s="15"/>
      <c r="D372" s="15"/>
      <c r="E372" s="15"/>
      <c r="F372" s="15"/>
      <c r="G372" s="15"/>
      <c r="H372" s="15"/>
      <c r="I372" s="15"/>
      <c r="J372" s="15"/>
      <c r="K372" s="15"/>
      <c r="L372" s="15"/>
      <c r="P372" s="15">
        <f>P371+'Edistynyt vuokratuottolaskuri'!$I$19</f>
        <v>11389.794681557072</v>
      </c>
    </row>
    <row r="373" spans="1:16" x14ac:dyDescent="0.2">
      <c r="B373" s="2">
        <v>365</v>
      </c>
      <c r="C373" s="15"/>
      <c r="D373" s="15"/>
      <c r="E373" s="15"/>
      <c r="F373" s="15"/>
      <c r="G373" s="15"/>
      <c r="H373" s="15"/>
      <c r="I373" s="15"/>
      <c r="J373" s="15"/>
      <c r="K373" s="15"/>
      <c r="L373" s="15"/>
      <c r="P373" s="15">
        <f>P372+'Edistynyt vuokratuottolaskuri'!$I$19</f>
        <v>11421.085326286624</v>
      </c>
    </row>
    <row r="374" spans="1:16" x14ac:dyDescent="0.2">
      <c r="B374" s="2">
        <v>366</v>
      </c>
      <c r="C374" s="15"/>
      <c r="D374" s="15"/>
      <c r="E374" s="15"/>
      <c r="F374" s="15"/>
      <c r="G374" s="15"/>
      <c r="H374" s="15"/>
      <c r="I374" s="15"/>
      <c r="J374" s="15"/>
      <c r="K374" s="15"/>
      <c r="L374" s="15"/>
      <c r="P374" s="15">
        <f>P373+'Edistynyt vuokratuottolaskuri'!$I$19</f>
        <v>11452.375971016176</v>
      </c>
    </row>
    <row r="375" spans="1:16" x14ac:dyDescent="0.2">
      <c r="B375" s="2">
        <v>367</v>
      </c>
      <c r="C375" s="15"/>
      <c r="D375" s="15"/>
      <c r="E375" s="15"/>
      <c r="F375" s="15"/>
      <c r="G375" s="15"/>
      <c r="H375" s="15"/>
      <c r="I375" s="15"/>
      <c r="J375" s="15"/>
      <c r="K375" s="15"/>
      <c r="L375" s="15"/>
      <c r="P375" s="15">
        <f>P374+'Edistynyt vuokratuottolaskuri'!$I$19</f>
        <v>11483.666615745728</v>
      </c>
    </row>
    <row r="376" spans="1:16" x14ac:dyDescent="0.2">
      <c r="B376" s="2">
        <v>368</v>
      </c>
      <c r="C376" s="15"/>
      <c r="D376" s="15"/>
      <c r="E376" s="15"/>
      <c r="F376" s="15"/>
      <c r="G376" s="15"/>
      <c r="H376" s="15"/>
      <c r="I376" s="15"/>
      <c r="J376" s="15"/>
      <c r="K376" s="15"/>
      <c r="L376" s="15"/>
      <c r="P376" s="15">
        <f>P375+'Edistynyt vuokratuottolaskuri'!$I$19</f>
        <v>11514.957260475279</v>
      </c>
    </row>
    <row r="377" spans="1:16" x14ac:dyDescent="0.2">
      <c r="B377" s="2">
        <v>369</v>
      </c>
      <c r="C377" s="15"/>
      <c r="D377" s="15"/>
      <c r="E377" s="15"/>
      <c r="F377" s="15"/>
      <c r="G377" s="15"/>
      <c r="H377" s="15"/>
      <c r="I377" s="15"/>
      <c r="J377" s="15"/>
      <c r="K377" s="15"/>
      <c r="L377" s="15"/>
      <c r="P377" s="15">
        <f>P376+'Edistynyt vuokratuottolaskuri'!$I$19</f>
        <v>11546.247905204831</v>
      </c>
    </row>
    <row r="378" spans="1:16" x14ac:dyDescent="0.2">
      <c r="B378" s="2">
        <v>370</v>
      </c>
      <c r="C378" s="15"/>
      <c r="D378" s="15"/>
      <c r="E378" s="15"/>
      <c r="F378" s="15"/>
      <c r="G378" s="15"/>
      <c r="H378" s="15"/>
      <c r="I378" s="15"/>
      <c r="J378" s="15"/>
      <c r="K378" s="15"/>
      <c r="L378" s="15"/>
      <c r="P378" s="15">
        <f>P377+'Edistynyt vuokratuottolaskuri'!$I$19</f>
        <v>11577.538549934383</v>
      </c>
    </row>
    <row r="379" spans="1:16" x14ac:dyDescent="0.2">
      <c r="B379" s="2">
        <v>371</v>
      </c>
      <c r="C379" s="15"/>
      <c r="D379" s="15"/>
      <c r="E379" s="15"/>
      <c r="F379" s="15"/>
      <c r="G379" s="15"/>
      <c r="H379" s="15"/>
      <c r="I379" s="15"/>
      <c r="J379" s="15"/>
      <c r="K379" s="15"/>
      <c r="L379" s="15"/>
      <c r="P379" s="15">
        <f>P378+'Edistynyt vuokratuottolaskuri'!$I$19</f>
        <v>11608.829194663935</v>
      </c>
    </row>
    <row r="380" spans="1:16" x14ac:dyDescent="0.2">
      <c r="B380" s="2">
        <v>372</v>
      </c>
      <c r="C380" s="15"/>
      <c r="D380" s="15"/>
      <c r="E380" s="15"/>
      <c r="F380" s="15"/>
      <c r="G380" s="15"/>
      <c r="H380" s="15"/>
      <c r="I380" s="15"/>
      <c r="J380" s="15"/>
      <c r="K380" s="15"/>
      <c r="L380" s="15"/>
      <c r="P380" s="15">
        <f>P379+'Edistynyt vuokratuottolaskuri'!$I$19</f>
        <v>11640.119839393486</v>
      </c>
    </row>
    <row r="381" spans="1:16" x14ac:dyDescent="0.2">
      <c r="A381" s="2" t="s">
        <v>66</v>
      </c>
      <c r="B381" s="2">
        <v>373</v>
      </c>
      <c r="C381" s="15">
        <f>C369+('Edistynyt vuokratuottolaskuri'!$C$52*C369)</f>
        <v>104822.21014544003</v>
      </c>
      <c r="D381" s="15"/>
      <c r="E381" s="15"/>
      <c r="F381" s="15"/>
      <c r="G381" s="15"/>
      <c r="H381" s="15"/>
      <c r="I381" s="15"/>
      <c r="J381" s="15"/>
      <c r="K381" s="15"/>
      <c r="L381" s="15"/>
      <c r="P381" s="15">
        <f>P380+'Edistynyt vuokratuottolaskuri'!$I$19</f>
        <v>11671.410484123038</v>
      </c>
    </row>
    <row r="382" spans="1:16" x14ac:dyDescent="0.2">
      <c r="B382" s="2">
        <v>374</v>
      </c>
      <c r="C382" s="15"/>
      <c r="D382" s="15"/>
      <c r="E382" s="15"/>
      <c r="F382" s="15"/>
      <c r="P382" s="15">
        <f>P381+'Edistynyt vuokratuottolaskuri'!$I$19</f>
        <v>11702.70112885259</v>
      </c>
    </row>
    <row r="383" spans="1:16" x14ac:dyDescent="0.2">
      <c r="B383" s="2">
        <v>375</v>
      </c>
      <c r="C383" s="15"/>
      <c r="D383" s="15"/>
      <c r="E383" s="15"/>
      <c r="F383" s="15"/>
      <c r="P383" s="15">
        <f>P382+'Edistynyt vuokratuottolaskuri'!$I$19</f>
        <v>11733.991773582142</v>
      </c>
    </row>
    <row r="384" spans="1:16" x14ac:dyDescent="0.2">
      <c r="B384" s="2">
        <v>376</v>
      </c>
      <c r="C384" s="15"/>
      <c r="D384" s="15"/>
      <c r="E384" s="15"/>
      <c r="F384" s="15"/>
      <c r="P384" s="15">
        <f>P383+'Edistynyt vuokratuottolaskuri'!$I$19</f>
        <v>11765.282418311694</v>
      </c>
    </row>
    <row r="385" spans="1:16" x14ac:dyDescent="0.2">
      <c r="B385" s="2">
        <v>377</v>
      </c>
      <c r="C385" s="15"/>
      <c r="D385" s="15"/>
      <c r="E385" s="15"/>
      <c r="F385" s="15"/>
      <c r="P385" s="15">
        <f>P384+'Edistynyt vuokratuottolaskuri'!$I$19</f>
        <v>11796.573063041245</v>
      </c>
    </row>
    <row r="386" spans="1:16" x14ac:dyDescent="0.2">
      <c r="B386" s="2">
        <v>378</v>
      </c>
      <c r="C386" s="15"/>
      <c r="D386" s="15"/>
      <c r="E386" s="15"/>
      <c r="F386" s="15"/>
      <c r="P386" s="15">
        <f>P385+'Edistynyt vuokratuottolaskuri'!$I$19</f>
        <v>11827.863707770797</v>
      </c>
    </row>
    <row r="387" spans="1:16" x14ac:dyDescent="0.2">
      <c r="B387" s="2">
        <v>379</v>
      </c>
      <c r="C387" s="15"/>
      <c r="D387" s="15"/>
      <c r="E387" s="15"/>
      <c r="F387" s="15"/>
      <c r="P387" s="15">
        <f>P386+'Edistynyt vuokratuottolaskuri'!$I$19</f>
        <v>11859.154352500349</v>
      </c>
    </row>
    <row r="388" spans="1:16" x14ac:dyDescent="0.2">
      <c r="B388" s="2">
        <v>380</v>
      </c>
      <c r="C388" s="15"/>
      <c r="D388" s="15"/>
      <c r="E388" s="15"/>
      <c r="F388" s="15"/>
      <c r="P388" s="15">
        <f>P387+'Edistynyt vuokratuottolaskuri'!$I$19</f>
        <v>11890.444997229901</v>
      </c>
    </row>
    <row r="389" spans="1:16" x14ac:dyDescent="0.2">
      <c r="B389" s="2">
        <v>381</v>
      </c>
      <c r="C389" s="15"/>
      <c r="D389" s="15"/>
      <c r="E389" s="15"/>
      <c r="F389" s="15"/>
      <c r="P389" s="15">
        <f>P388+'Edistynyt vuokratuottolaskuri'!$I$19</f>
        <v>11921.735641959453</v>
      </c>
    </row>
    <row r="390" spans="1:16" x14ac:dyDescent="0.2">
      <c r="B390" s="2">
        <v>382</v>
      </c>
      <c r="C390" s="15"/>
      <c r="D390" s="15"/>
      <c r="E390" s="15"/>
      <c r="F390" s="15"/>
      <c r="P390" s="15">
        <f>P389+'Edistynyt vuokratuottolaskuri'!$I$19</f>
        <v>11953.026286689004</v>
      </c>
    </row>
    <row r="391" spans="1:16" x14ac:dyDescent="0.2">
      <c r="B391" s="2">
        <v>383</v>
      </c>
      <c r="C391" s="15"/>
      <c r="D391" s="15"/>
      <c r="E391" s="15"/>
      <c r="F391" s="15"/>
      <c r="P391" s="15">
        <f>P390+'Edistynyt vuokratuottolaskuri'!$I$19</f>
        <v>11984.316931418556</v>
      </c>
    </row>
    <row r="392" spans="1:16" x14ac:dyDescent="0.2">
      <c r="B392" s="2">
        <v>384</v>
      </c>
      <c r="C392" s="15"/>
      <c r="D392" s="15"/>
      <c r="E392" s="15"/>
      <c r="F392" s="15"/>
      <c r="P392" s="15">
        <f>P391+'Edistynyt vuokratuottolaskuri'!$I$19</f>
        <v>12015.607576148108</v>
      </c>
    </row>
    <row r="393" spans="1:16" x14ac:dyDescent="0.2">
      <c r="A393" s="2" t="s">
        <v>67</v>
      </c>
      <c r="B393" s="2">
        <v>385</v>
      </c>
      <c r="C393" s="15">
        <f>C381+('Edistynyt vuokratuottolaskuri'!$C$52*C381)</f>
        <v>105870.43224689443</v>
      </c>
      <c r="D393" s="15"/>
      <c r="E393" s="15"/>
      <c r="F393" s="15"/>
      <c r="P393" s="15">
        <f>P392+'Edistynyt vuokratuottolaskuri'!$I$19</f>
        <v>12046.89822087766</v>
      </c>
    </row>
    <row r="394" spans="1:16" x14ac:dyDescent="0.2">
      <c r="B394" s="2">
        <v>386</v>
      </c>
      <c r="C394" s="15"/>
      <c r="D394" s="15"/>
      <c r="E394" s="15"/>
      <c r="F394" s="15"/>
      <c r="P394" s="15">
        <f>P393+'Edistynyt vuokratuottolaskuri'!$I$19</f>
        <v>12078.188865607211</v>
      </c>
    </row>
    <row r="395" spans="1:16" x14ac:dyDescent="0.2">
      <c r="B395" s="2">
        <v>387</v>
      </c>
      <c r="C395" s="15"/>
      <c r="D395" s="15"/>
      <c r="E395" s="15"/>
      <c r="F395" s="15"/>
      <c r="P395" s="15">
        <f>P394+'Edistynyt vuokratuottolaskuri'!$I$19</f>
        <v>12109.479510336763</v>
      </c>
    </row>
    <row r="396" spans="1:16" x14ac:dyDescent="0.2">
      <c r="B396" s="2">
        <v>388</v>
      </c>
      <c r="C396" s="15"/>
      <c r="D396" s="15"/>
      <c r="E396" s="15"/>
      <c r="F396" s="15"/>
      <c r="P396" s="15">
        <f>P395+'Edistynyt vuokratuottolaskuri'!$I$19</f>
        <v>12140.770155066315</v>
      </c>
    </row>
    <row r="397" spans="1:16" x14ac:dyDescent="0.2">
      <c r="B397" s="2">
        <v>389</v>
      </c>
      <c r="C397" s="15"/>
      <c r="D397" s="15"/>
      <c r="E397" s="15"/>
      <c r="F397" s="15"/>
      <c r="P397" s="15">
        <f>P396+'Edistynyt vuokratuottolaskuri'!$I$19</f>
        <v>12172.060799795867</v>
      </c>
    </row>
    <row r="398" spans="1:16" x14ac:dyDescent="0.2">
      <c r="B398" s="2">
        <v>390</v>
      </c>
      <c r="C398" s="15"/>
      <c r="D398" s="15"/>
      <c r="E398" s="15"/>
      <c r="F398" s="15"/>
      <c r="P398" s="15">
        <f>P397+'Edistynyt vuokratuottolaskuri'!$I$19</f>
        <v>12203.351444525419</v>
      </c>
    </row>
    <row r="399" spans="1:16" x14ac:dyDescent="0.2">
      <c r="B399" s="2">
        <v>391</v>
      </c>
      <c r="C399" s="15"/>
      <c r="D399" s="15"/>
      <c r="E399" s="15"/>
      <c r="F399" s="15"/>
      <c r="P399" s="15">
        <f>P398+'Edistynyt vuokratuottolaskuri'!$I$19</f>
        <v>12234.64208925497</v>
      </c>
    </row>
    <row r="400" spans="1:16" x14ac:dyDescent="0.2">
      <c r="B400" s="2">
        <v>392</v>
      </c>
      <c r="C400" s="15"/>
      <c r="D400" s="15"/>
      <c r="E400" s="15"/>
      <c r="F400" s="15"/>
      <c r="P400" s="15">
        <f>P399+'Edistynyt vuokratuottolaskuri'!$I$19</f>
        <v>12265.932733984522</v>
      </c>
    </row>
    <row r="401" spans="1:16" x14ac:dyDescent="0.2">
      <c r="B401" s="2">
        <v>393</v>
      </c>
      <c r="C401" s="15"/>
      <c r="D401" s="15"/>
      <c r="E401" s="15"/>
      <c r="F401" s="15"/>
      <c r="P401" s="15">
        <f>P400+'Edistynyt vuokratuottolaskuri'!$I$19</f>
        <v>12297.223378714074</v>
      </c>
    </row>
    <row r="402" spans="1:16" x14ac:dyDescent="0.2">
      <c r="B402" s="2">
        <v>394</v>
      </c>
      <c r="C402" s="15"/>
      <c r="D402" s="15"/>
      <c r="E402" s="15"/>
      <c r="F402" s="15"/>
      <c r="P402" s="15">
        <f>P401+'Edistynyt vuokratuottolaskuri'!$I$19</f>
        <v>12328.514023443626</v>
      </c>
    </row>
    <row r="403" spans="1:16" x14ac:dyDescent="0.2">
      <c r="B403" s="2">
        <v>395</v>
      </c>
      <c r="C403" s="15"/>
      <c r="D403" s="15"/>
      <c r="E403" s="15"/>
      <c r="F403" s="15"/>
      <c r="P403" s="15">
        <f>P402+'Edistynyt vuokratuottolaskuri'!$I$19</f>
        <v>12359.804668173178</v>
      </c>
    </row>
    <row r="404" spans="1:16" x14ac:dyDescent="0.2">
      <c r="B404" s="2">
        <v>396</v>
      </c>
      <c r="C404" s="15"/>
      <c r="D404" s="15"/>
      <c r="E404" s="15"/>
      <c r="F404" s="15"/>
      <c r="P404" s="15">
        <f>P403+'Edistynyt vuokratuottolaskuri'!$I$19</f>
        <v>12391.095312902729</v>
      </c>
    </row>
    <row r="405" spans="1:16" x14ac:dyDescent="0.2">
      <c r="A405" s="2" t="s">
        <v>68</v>
      </c>
      <c r="B405" s="2">
        <v>397</v>
      </c>
      <c r="C405" s="15">
        <f>C393+('Edistynyt vuokratuottolaskuri'!$C$52*C393)</f>
        <v>106929.13656936337</v>
      </c>
      <c r="D405" s="15"/>
      <c r="E405" s="15"/>
      <c r="F405" s="15"/>
      <c r="P405" s="15">
        <f>P404+'Edistynyt vuokratuottolaskuri'!$I$19</f>
        <v>12422.385957632281</v>
      </c>
    </row>
    <row r="406" spans="1:16" x14ac:dyDescent="0.2">
      <c r="B406" s="2">
        <v>398</v>
      </c>
      <c r="C406" s="15"/>
      <c r="D406" s="15"/>
      <c r="E406" s="15"/>
      <c r="F406" s="15"/>
      <c r="P406" s="15">
        <f>P405+'Edistynyt vuokratuottolaskuri'!$I$19</f>
        <v>12453.676602361833</v>
      </c>
    </row>
    <row r="407" spans="1:16" x14ac:dyDescent="0.2">
      <c r="B407" s="2">
        <v>399</v>
      </c>
      <c r="C407" s="15"/>
      <c r="D407" s="15"/>
      <c r="E407" s="15"/>
      <c r="F407" s="15"/>
      <c r="P407" s="15">
        <f>P406+'Edistynyt vuokratuottolaskuri'!$I$19</f>
        <v>12484.967247091385</v>
      </c>
    </row>
    <row r="408" spans="1:16" x14ac:dyDescent="0.2">
      <c r="B408" s="2">
        <v>400</v>
      </c>
      <c r="C408" s="15"/>
      <c r="D408" s="15"/>
      <c r="E408" s="15"/>
      <c r="F408" s="15"/>
      <c r="P408" s="15">
        <f>P407+'Edistynyt vuokratuottolaskuri'!$I$19</f>
        <v>12516.257891820936</v>
      </c>
    </row>
    <row r="409" spans="1:16" x14ac:dyDescent="0.2">
      <c r="B409" s="2">
        <v>401</v>
      </c>
      <c r="C409" s="15"/>
      <c r="D409" s="15"/>
      <c r="E409" s="15"/>
      <c r="F409" s="15"/>
      <c r="P409" s="15">
        <f>P408+'Edistynyt vuokratuottolaskuri'!$I$19</f>
        <v>12547.548536550488</v>
      </c>
    </row>
    <row r="410" spans="1:16" x14ac:dyDescent="0.2">
      <c r="B410" s="2">
        <v>402</v>
      </c>
      <c r="C410" s="15"/>
      <c r="D410" s="15"/>
      <c r="E410" s="15"/>
      <c r="F410" s="15"/>
      <c r="P410" s="15">
        <f>P409+'Edistynyt vuokratuottolaskuri'!$I$19</f>
        <v>12578.83918128004</v>
      </c>
    </row>
    <row r="411" spans="1:16" x14ac:dyDescent="0.2">
      <c r="B411" s="2">
        <v>403</v>
      </c>
      <c r="C411" s="15"/>
      <c r="D411" s="15"/>
      <c r="E411" s="15"/>
      <c r="F411" s="15"/>
      <c r="P411" s="15">
        <f>P410+'Edistynyt vuokratuottolaskuri'!$I$19</f>
        <v>12610.129826009592</v>
      </c>
    </row>
    <row r="412" spans="1:16" x14ac:dyDescent="0.2">
      <c r="B412" s="2">
        <v>404</v>
      </c>
      <c r="C412" s="15"/>
      <c r="D412" s="15"/>
      <c r="E412" s="15"/>
      <c r="F412" s="15"/>
      <c r="P412" s="15">
        <f>P411+'Edistynyt vuokratuottolaskuri'!$I$19</f>
        <v>12641.420470739144</v>
      </c>
    </row>
    <row r="413" spans="1:16" x14ac:dyDescent="0.2">
      <c r="B413" s="2">
        <v>405</v>
      </c>
      <c r="C413" s="15"/>
      <c r="D413" s="15"/>
      <c r="E413" s="15"/>
      <c r="F413" s="15"/>
      <c r="P413" s="15">
        <f>P412+'Edistynyt vuokratuottolaskuri'!$I$19</f>
        <v>12672.711115468695</v>
      </c>
    </row>
    <row r="414" spans="1:16" x14ac:dyDescent="0.2">
      <c r="B414" s="2">
        <v>406</v>
      </c>
      <c r="C414" s="15"/>
      <c r="D414" s="15"/>
      <c r="E414" s="15"/>
      <c r="F414" s="15"/>
      <c r="P414" s="15">
        <f>P413+'Edistynyt vuokratuottolaskuri'!$I$19</f>
        <v>12704.001760198247</v>
      </c>
    </row>
    <row r="415" spans="1:16" x14ac:dyDescent="0.2">
      <c r="B415" s="2">
        <v>407</v>
      </c>
      <c r="C415" s="15"/>
      <c r="D415" s="15"/>
      <c r="E415" s="15"/>
      <c r="F415" s="15"/>
      <c r="P415" s="15">
        <f>P414+'Edistynyt vuokratuottolaskuri'!$I$19</f>
        <v>12735.292404927799</v>
      </c>
    </row>
    <row r="416" spans="1:16" x14ac:dyDescent="0.2">
      <c r="B416" s="2">
        <v>408</v>
      </c>
      <c r="C416" s="15"/>
      <c r="D416" s="15"/>
      <c r="E416" s="15"/>
      <c r="F416" s="15"/>
      <c r="P416" s="15">
        <f>P415+'Edistynyt vuokratuottolaskuri'!$I$19</f>
        <v>12766.583049657351</v>
      </c>
    </row>
    <row r="417" spans="1:16" x14ac:dyDescent="0.2">
      <c r="A417" s="2" t="s">
        <v>69</v>
      </c>
      <c r="B417" s="2">
        <v>409</v>
      </c>
      <c r="C417" s="15">
        <f>C405+('Edistynyt vuokratuottolaskuri'!$C$52*C405)</f>
        <v>107998.427935057</v>
      </c>
      <c r="D417" s="15"/>
      <c r="E417" s="15"/>
      <c r="F417" s="15"/>
      <c r="P417" s="15">
        <f>P416+'Edistynyt vuokratuottolaskuri'!$I$19</f>
        <v>12797.873694386903</v>
      </c>
    </row>
    <row r="418" spans="1:16" x14ac:dyDescent="0.2">
      <c r="B418" s="2">
        <v>410</v>
      </c>
      <c r="C418" s="15"/>
      <c r="D418" s="15"/>
      <c r="E418" s="15"/>
      <c r="F418" s="15"/>
      <c r="P418" s="15">
        <f>P417+'Edistynyt vuokratuottolaskuri'!$I$19</f>
        <v>12829.164339116454</v>
      </c>
    </row>
    <row r="419" spans="1:16" x14ac:dyDescent="0.2">
      <c r="B419" s="2">
        <v>411</v>
      </c>
      <c r="C419" s="15"/>
      <c r="D419" s="15"/>
      <c r="E419" s="15"/>
      <c r="F419" s="15"/>
      <c r="P419" s="15">
        <f>P418+'Edistynyt vuokratuottolaskuri'!$I$19</f>
        <v>12860.454983846006</v>
      </c>
    </row>
    <row r="420" spans="1:16" x14ac:dyDescent="0.2">
      <c r="B420" s="2">
        <v>412</v>
      </c>
      <c r="C420" s="15"/>
      <c r="D420" s="15"/>
      <c r="E420" s="15"/>
      <c r="F420" s="15"/>
      <c r="P420" s="15">
        <f>P419+'Edistynyt vuokratuottolaskuri'!$I$19</f>
        <v>12891.745628575558</v>
      </c>
    </row>
    <row r="421" spans="1:16" x14ac:dyDescent="0.2">
      <c r="B421" s="2">
        <v>413</v>
      </c>
      <c r="C421" s="15"/>
      <c r="D421" s="15"/>
      <c r="E421" s="15"/>
      <c r="F421" s="15"/>
      <c r="P421" s="15">
        <f>P420+'Edistynyt vuokratuottolaskuri'!$I$19</f>
        <v>12923.03627330511</v>
      </c>
    </row>
    <row r="422" spans="1:16" x14ac:dyDescent="0.2">
      <c r="B422" s="2">
        <v>414</v>
      </c>
      <c r="C422" s="15"/>
      <c r="D422" s="15"/>
      <c r="E422" s="15"/>
      <c r="F422" s="15"/>
      <c r="P422" s="15">
        <f>P421+'Edistynyt vuokratuottolaskuri'!$I$19</f>
        <v>12954.326918034662</v>
      </c>
    </row>
    <row r="423" spans="1:16" x14ac:dyDescent="0.2">
      <c r="B423" s="2">
        <v>415</v>
      </c>
      <c r="C423" s="15"/>
      <c r="D423" s="15"/>
      <c r="E423" s="15"/>
      <c r="F423" s="15"/>
      <c r="P423" s="15">
        <f>P422+'Edistynyt vuokratuottolaskuri'!$I$19</f>
        <v>12985.617562764213</v>
      </c>
    </row>
    <row r="424" spans="1:16" x14ac:dyDescent="0.2">
      <c r="B424" s="2">
        <v>416</v>
      </c>
      <c r="C424" s="15"/>
      <c r="D424" s="15"/>
      <c r="E424" s="15"/>
      <c r="F424" s="15"/>
      <c r="P424" s="15">
        <f>P423+'Edistynyt vuokratuottolaskuri'!$I$19</f>
        <v>13016.908207493765</v>
      </c>
    </row>
    <row r="425" spans="1:16" x14ac:dyDescent="0.2">
      <c r="B425" s="2">
        <v>417</v>
      </c>
      <c r="C425" s="15"/>
      <c r="D425" s="15"/>
      <c r="E425" s="15"/>
      <c r="F425" s="15"/>
      <c r="P425" s="15">
        <f>P424+'Edistynyt vuokratuottolaskuri'!$I$19</f>
        <v>13048.198852223317</v>
      </c>
    </row>
    <row r="426" spans="1:16" x14ac:dyDescent="0.2">
      <c r="B426" s="2">
        <v>418</v>
      </c>
      <c r="C426" s="15"/>
      <c r="D426" s="15"/>
      <c r="E426" s="15"/>
      <c r="F426" s="15"/>
      <c r="P426" s="15">
        <f>P425+'Edistynyt vuokratuottolaskuri'!$I$19</f>
        <v>13079.489496952869</v>
      </c>
    </row>
    <row r="427" spans="1:16" x14ac:dyDescent="0.2">
      <c r="B427" s="2">
        <v>419</v>
      </c>
      <c r="C427" s="15"/>
      <c r="D427" s="15"/>
      <c r="E427" s="15"/>
      <c r="F427" s="15"/>
      <c r="P427" s="15">
        <f>P426+'Edistynyt vuokratuottolaskuri'!$I$19</f>
        <v>13110.78014168242</v>
      </c>
    </row>
    <row r="428" spans="1:16" x14ac:dyDescent="0.2">
      <c r="B428" s="2">
        <v>420</v>
      </c>
      <c r="C428" s="15"/>
      <c r="D428" s="15"/>
      <c r="E428" s="15"/>
      <c r="F428" s="15"/>
      <c r="P428" s="15">
        <f>P427+'Edistynyt vuokratuottolaskuri'!$I$19</f>
        <v>13142.070786411972</v>
      </c>
    </row>
    <row r="429" spans="1:16" x14ac:dyDescent="0.2">
      <c r="A429" s="2" t="s">
        <v>70</v>
      </c>
      <c r="B429" s="2">
        <v>421</v>
      </c>
      <c r="C429" s="15">
        <f>C417+('Edistynyt vuokratuottolaskuri'!$C$52*C417)</f>
        <v>109078.41221440757</v>
      </c>
      <c r="D429" s="15"/>
      <c r="E429" s="15"/>
      <c r="F429" s="15"/>
      <c r="P429" s="15">
        <f>P428+'Edistynyt vuokratuottolaskuri'!$I$19</f>
        <v>13173.361431141524</v>
      </c>
    </row>
    <row r="430" spans="1:16" x14ac:dyDescent="0.2">
      <c r="B430" s="2">
        <v>422</v>
      </c>
      <c r="C430" s="15"/>
      <c r="D430" s="15"/>
      <c r="E430" s="15"/>
      <c r="F430" s="15"/>
      <c r="P430" s="15">
        <f>P429+'Edistynyt vuokratuottolaskuri'!$I$19</f>
        <v>13204.652075871076</v>
      </c>
    </row>
    <row r="431" spans="1:16" x14ac:dyDescent="0.2">
      <c r="B431" s="2">
        <v>423</v>
      </c>
      <c r="C431" s="15"/>
      <c r="D431" s="15"/>
      <c r="E431" s="15"/>
      <c r="F431" s="15"/>
      <c r="P431" s="15">
        <f>P430+'Edistynyt vuokratuottolaskuri'!$I$19</f>
        <v>13235.942720600628</v>
      </c>
    </row>
    <row r="432" spans="1:16" x14ac:dyDescent="0.2">
      <c r="B432" s="2">
        <v>424</v>
      </c>
      <c r="C432" s="15"/>
      <c r="D432" s="15"/>
      <c r="E432" s="15"/>
      <c r="F432" s="15"/>
      <c r="P432" s="15">
        <f>P431+'Edistynyt vuokratuottolaskuri'!$I$19</f>
        <v>13267.233365330179</v>
      </c>
    </row>
    <row r="433" spans="2:16" x14ac:dyDescent="0.2">
      <c r="B433" s="2">
        <v>425</v>
      </c>
      <c r="C433" s="15"/>
      <c r="D433" s="15"/>
      <c r="E433" s="15"/>
      <c r="F433" s="15"/>
      <c r="P433" s="15">
        <f>P432+'Edistynyt vuokratuottolaskuri'!$I$19</f>
        <v>13298.524010059731</v>
      </c>
    </row>
    <row r="434" spans="2:16" x14ac:dyDescent="0.2">
      <c r="B434" s="2">
        <v>426</v>
      </c>
      <c r="C434" s="15"/>
      <c r="D434" s="15"/>
      <c r="E434" s="15"/>
      <c r="F434" s="15"/>
      <c r="P434" s="15">
        <f>P433+'Edistynyt vuokratuottolaskuri'!$I$19</f>
        <v>13329.814654789283</v>
      </c>
    </row>
    <row r="435" spans="2:16" x14ac:dyDescent="0.2">
      <c r="B435" s="2">
        <v>427</v>
      </c>
      <c r="C435" s="15"/>
      <c r="D435" s="15"/>
      <c r="E435" s="15"/>
      <c r="F435" s="15"/>
      <c r="P435" s="15">
        <f>P434+'Edistynyt vuokratuottolaskuri'!$I$19</f>
        <v>13361.105299518835</v>
      </c>
    </row>
    <row r="436" spans="2:16" x14ac:dyDescent="0.2">
      <c r="B436" s="2">
        <v>428</v>
      </c>
      <c r="C436" s="15"/>
      <c r="D436" s="15"/>
      <c r="E436" s="15"/>
      <c r="F436" s="15"/>
      <c r="P436" s="15">
        <f>P435+'Edistynyt vuokratuottolaskuri'!$I$19</f>
        <v>13392.395944248387</v>
      </c>
    </row>
    <row r="437" spans="2:16" x14ac:dyDescent="0.2">
      <c r="B437" s="2">
        <v>429</v>
      </c>
      <c r="C437" s="15"/>
      <c r="D437" s="15"/>
      <c r="E437" s="15"/>
      <c r="F437" s="15"/>
      <c r="P437" s="15">
        <f>P436+'Edistynyt vuokratuottolaskuri'!$I$19</f>
        <v>13423.686588977938</v>
      </c>
    </row>
    <row r="438" spans="2:16" x14ac:dyDescent="0.2">
      <c r="B438" s="2">
        <v>430</v>
      </c>
      <c r="C438" s="15"/>
      <c r="D438" s="15"/>
      <c r="E438" s="15"/>
      <c r="F438" s="15"/>
      <c r="P438" s="15">
        <f>P437+'Edistynyt vuokratuottolaskuri'!$I$19</f>
        <v>13454.97723370749</v>
      </c>
    </row>
    <row r="439" spans="2:16" x14ac:dyDescent="0.2">
      <c r="B439" s="2">
        <v>431</v>
      </c>
      <c r="C439" s="15"/>
      <c r="D439" s="15"/>
      <c r="E439" s="15"/>
      <c r="F439" s="15"/>
      <c r="P439" s="15">
        <f>P438+'Edistynyt vuokratuottolaskuri'!$I$19</f>
        <v>13486.267878437042</v>
      </c>
    </row>
    <row r="440" spans="2:16" x14ac:dyDescent="0.2">
      <c r="B440" s="2">
        <v>432</v>
      </c>
      <c r="C440" s="15"/>
      <c r="D440" s="15"/>
      <c r="E440" s="15"/>
      <c r="F440" s="15"/>
      <c r="P440" s="15">
        <f>P439+'Edistynyt vuokratuottolaskuri'!$I$19</f>
        <v>13517.558523166594</v>
      </c>
    </row>
    <row r="441" spans="2:16" x14ac:dyDescent="0.2">
      <c r="B441" s="2">
        <v>433</v>
      </c>
      <c r="C441" s="15">
        <f>C429+('Edistynyt vuokratuottolaskuri'!$C$52*C429)</f>
        <v>110169.19633655164</v>
      </c>
      <c r="D441" s="15"/>
      <c r="E441" s="15"/>
      <c r="F441" s="15"/>
      <c r="P441" s="15">
        <f>P440+'Edistynyt vuokratuottolaskuri'!$I$19</f>
        <v>13548.849167896145</v>
      </c>
    </row>
    <row r="442" spans="2:16" x14ac:dyDescent="0.2">
      <c r="B442" s="2">
        <v>434</v>
      </c>
      <c r="C442" s="15"/>
      <c r="D442" s="15"/>
      <c r="E442" s="15"/>
      <c r="F442" s="15"/>
      <c r="P442" s="15">
        <f>P441+'Edistynyt vuokratuottolaskuri'!$I$19</f>
        <v>13580.139812625697</v>
      </c>
    </row>
    <row r="443" spans="2:16" x14ac:dyDescent="0.2">
      <c r="B443" s="2">
        <v>435</v>
      </c>
      <c r="C443" s="15"/>
      <c r="D443" s="15"/>
      <c r="E443" s="15"/>
      <c r="F443" s="15"/>
      <c r="P443" s="15">
        <f>P442+'Edistynyt vuokratuottolaskuri'!$I$19</f>
        <v>13611.430457355249</v>
      </c>
    </row>
    <row r="444" spans="2:16" x14ac:dyDescent="0.2">
      <c r="B444" s="2">
        <v>436</v>
      </c>
      <c r="C444" s="15"/>
      <c r="D444" s="15"/>
      <c r="E444" s="15"/>
      <c r="F444" s="15"/>
      <c r="P444" s="15">
        <f>P443+'Edistynyt vuokratuottolaskuri'!$I$19</f>
        <v>13642.721102084801</v>
      </c>
    </row>
    <row r="445" spans="2:16" x14ac:dyDescent="0.2">
      <c r="B445" s="2">
        <v>437</v>
      </c>
      <c r="C445" s="15"/>
      <c r="D445" s="15"/>
      <c r="E445" s="15"/>
      <c r="F445" s="15"/>
      <c r="P445" s="15">
        <f>P444+'Edistynyt vuokratuottolaskuri'!$I$19</f>
        <v>13674.011746814353</v>
      </c>
    </row>
    <row r="446" spans="2:16" x14ac:dyDescent="0.2">
      <c r="B446" s="2">
        <v>438</v>
      </c>
      <c r="C446" s="15"/>
      <c r="D446" s="15"/>
      <c r="E446" s="15"/>
      <c r="F446" s="15"/>
      <c r="P446" s="15">
        <f>P445+'Edistynyt vuokratuottolaskuri'!$I$19</f>
        <v>13705.302391543904</v>
      </c>
    </row>
    <row r="447" spans="2:16" x14ac:dyDescent="0.2">
      <c r="B447" s="2">
        <v>439</v>
      </c>
      <c r="C447" s="15"/>
      <c r="D447" s="15"/>
      <c r="E447" s="15"/>
      <c r="F447" s="15"/>
      <c r="P447" s="15">
        <f>P446+'Edistynyt vuokratuottolaskuri'!$I$19</f>
        <v>13736.593036273456</v>
      </c>
    </row>
    <row r="448" spans="2:16" x14ac:dyDescent="0.2">
      <c r="B448" s="2">
        <v>440</v>
      </c>
      <c r="C448" s="15"/>
      <c r="D448" s="15"/>
      <c r="E448" s="15"/>
      <c r="F448" s="15"/>
      <c r="P448" s="15">
        <f>P447+'Edistynyt vuokratuottolaskuri'!$I$19</f>
        <v>13767.883681003008</v>
      </c>
    </row>
    <row r="449" spans="2:16" x14ac:dyDescent="0.2">
      <c r="B449" s="2">
        <v>441</v>
      </c>
      <c r="C449" s="15"/>
      <c r="D449" s="15"/>
      <c r="E449" s="15"/>
      <c r="F449" s="15"/>
      <c r="P449" s="15">
        <f>P448+'Edistynyt vuokratuottolaskuri'!$I$19</f>
        <v>13799.17432573256</v>
      </c>
    </row>
    <row r="450" spans="2:16" x14ac:dyDescent="0.2">
      <c r="B450" s="2">
        <v>442</v>
      </c>
      <c r="C450" s="15"/>
      <c r="D450" s="15"/>
      <c r="E450" s="15"/>
      <c r="F450" s="15"/>
      <c r="P450" s="15">
        <f>P449+'Edistynyt vuokratuottolaskuri'!$I$19</f>
        <v>13830.464970462112</v>
      </c>
    </row>
    <row r="451" spans="2:16" x14ac:dyDescent="0.2">
      <c r="B451" s="2">
        <v>443</v>
      </c>
      <c r="C451" s="15"/>
      <c r="D451" s="15"/>
      <c r="E451" s="15"/>
      <c r="F451" s="15"/>
      <c r="P451" s="15">
        <f>P450+'Edistynyt vuokratuottolaskuri'!$I$19</f>
        <v>13861.755615191663</v>
      </c>
    </row>
    <row r="452" spans="2:16" x14ac:dyDescent="0.2">
      <c r="B452" s="2">
        <v>444</v>
      </c>
      <c r="C452" s="15"/>
      <c r="D452" s="15"/>
      <c r="E452" s="15"/>
      <c r="F452" s="15"/>
      <c r="P452" s="15">
        <f>P451+'Edistynyt vuokratuottolaskuri'!$I$19</f>
        <v>13893.046259921215</v>
      </c>
    </row>
    <row r="453" spans="2:16" x14ac:dyDescent="0.2">
      <c r="B453" s="2">
        <v>445</v>
      </c>
      <c r="C453" s="15">
        <f>C441+('Edistynyt vuokratuottolaskuri'!$C$52*C441)</f>
        <v>111270.88829991716</v>
      </c>
      <c r="D453" s="15"/>
      <c r="E453" s="15"/>
      <c r="F453" s="15"/>
      <c r="P453" s="15">
        <f>P452+'Edistynyt vuokratuottolaskuri'!$I$19</f>
        <v>13924.336904650767</v>
      </c>
    </row>
    <row r="454" spans="2:16" x14ac:dyDescent="0.2">
      <c r="B454" s="2">
        <v>446</v>
      </c>
      <c r="C454" s="15"/>
      <c r="D454" s="15"/>
      <c r="E454" s="15"/>
      <c r="F454" s="15"/>
      <c r="P454" s="15">
        <f>P453+'Edistynyt vuokratuottolaskuri'!$I$19</f>
        <v>13955.627549380319</v>
      </c>
    </row>
    <row r="455" spans="2:16" x14ac:dyDescent="0.2">
      <c r="B455" s="2">
        <v>447</v>
      </c>
      <c r="C455" s="15"/>
      <c r="D455" s="15"/>
      <c r="E455" s="15"/>
      <c r="F455" s="15"/>
      <c r="P455" s="15">
        <f>P454+'Edistynyt vuokratuottolaskuri'!$I$19</f>
        <v>13986.91819410987</v>
      </c>
    </row>
    <row r="456" spans="2:16" x14ac:dyDescent="0.2">
      <c r="B456" s="2">
        <v>448</v>
      </c>
      <c r="C456" s="15"/>
      <c r="D456" s="15"/>
      <c r="E456" s="15"/>
      <c r="F456" s="15"/>
      <c r="P456" s="15">
        <f>P455+'Edistynyt vuokratuottolaskuri'!$I$19</f>
        <v>14018.208838839422</v>
      </c>
    </row>
    <row r="457" spans="2:16" x14ac:dyDescent="0.2">
      <c r="B457" s="2">
        <v>449</v>
      </c>
      <c r="C457" s="15"/>
      <c r="D457" s="15"/>
      <c r="E457" s="15"/>
      <c r="F457" s="15"/>
      <c r="P457" s="15">
        <f>P456+'Edistynyt vuokratuottolaskuri'!$I$19</f>
        <v>14049.499483568974</v>
      </c>
    </row>
    <row r="458" spans="2:16" x14ac:dyDescent="0.2">
      <c r="B458" s="2">
        <v>450</v>
      </c>
      <c r="C458" s="15"/>
      <c r="D458" s="15"/>
      <c r="E458" s="15"/>
      <c r="F458" s="15"/>
      <c r="P458" s="15">
        <f>P457+'Edistynyt vuokratuottolaskuri'!$I$19</f>
        <v>14080.790128298526</v>
      </c>
    </row>
    <row r="459" spans="2:16" x14ac:dyDescent="0.2">
      <c r="B459" s="2">
        <v>451</v>
      </c>
      <c r="C459" s="15"/>
      <c r="D459" s="15"/>
      <c r="E459" s="15"/>
      <c r="F459" s="15"/>
      <c r="P459" s="15">
        <f>P458+'Edistynyt vuokratuottolaskuri'!$I$19</f>
        <v>14112.080773028078</v>
      </c>
    </row>
    <row r="460" spans="2:16" x14ac:dyDescent="0.2">
      <c r="B460" s="2">
        <v>452</v>
      </c>
      <c r="C460" s="15"/>
      <c r="D460" s="15"/>
      <c r="E460" s="15"/>
      <c r="F460" s="15"/>
      <c r="P460" s="15">
        <f>P459+'Edistynyt vuokratuottolaskuri'!$I$19</f>
        <v>14143.371417757629</v>
      </c>
    </row>
    <row r="461" spans="2:16" x14ac:dyDescent="0.2">
      <c r="B461" s="2">
        <v>453</v>
      </c>
      <c r="C461" s="15"/>
      <c r="D461" s="15"/>
      <c r="E461" s="15"/>
      <c r="F461" s="15"/>
      <c r="P461" s="15">
        <f>P460+'Edistynyt vuokratuottolaskuri'!$I$19</f>
        <v>14174.662062487181</v>
      </c>
    </row>
    <row r="462" spans="2:16" x14ac:dyDescent="0.2">
      <c r="B462" s="2">
        <v>454</v>
      </c>
      <c r="C462" s="15"/>
      <c r="D462" s="15"/>
      <c r="E462" s="15"/>
      <c r="F462" s="15"/>
      <c r="P462" s="15">
        <f>P461+'Edistynyt vuokratuottolaskuri'!$I$19</f>
        <v>14205.952707216733</v>
      </c>
    </row>
    <row r="463" spans="2:16" x14ac:dyDescent="0.2">
      <c r="B463" s="2">
        <v>455</v>
      </c>
      <c r="C463" s="15"/>
      <c r="D463" s="15"/>
      <c r="E463" s="15"/>
      <c r="F463" s="15"/>
      <c r="P463" s="15">
        <f>P462+'Edistynyt vuokratuottolaskuri'!$I$19</f>
        <v>14237.243351946285</v>
      </c>
    </row>
    <row r="464" spans="2:16" x14ac:dyDescent="0.2">
      <c r="B464" s="2">
        <v>456</v>
      </c>
      <c r="C464" s="15"/>
      <c r="D464" s="15"/>
      <c r="E464" s="15"/>
      <c r="F464" s="15"/>
      <c r="P464" s="15">
        <f>P463+'Edistynyt vuokratuottolaskuri'!$I$19</f>
        <v>14268.533996675837</v>
      </c>
    </row>
    <row r="465" spans="2:16" x14ac:dyDescent="0.2">
      <c r="B465" s="2">
        <v>457</v>
      </c>
      <c r="C465" s="15">
        <f>C453+('Edistynyt vuokratuottolaskuri'!$C$52*C453)</f>
        <v>112383.59718291633</v>
      </c>
      <c r="D465" s="15"/>
      <c r="E465" s="15"/>
      <c r="F465" s="15"/>
      <c r="P465" s="15">
        <f>P464+'Edistynyt vuokratuottolaskuri'!$I$19</f>
        <v>14299.824641405388</v>
      </c>
    </row>
    <row r="466" spans="2:16" x14ac:dyDescent="0.2">
      <c r="B466" s="2">
        <v>458</v>
      </c>
      <c r="C466" s="15"/>
      <c r="D466" s="15"/>
      <c r="E466" s="15"/>
      <c r="F466" s="15"/>
      <c r="P466" s="15">
        <f>P465+'Edistynyt vuokratuottolaskuri'!$I$19</f>
        <v>14331.11528613494</v>
      </c>
    </row>
    <row r="467" spans="2:16" x14ac:dyDescent="0.2">
      <c r="B467" s="2">
        <v>459</v>
      </c>
      <c r="C467" s="15"/>
      <c r="D467" s="15"/>
      <c r="E467" s="15"/>
      <c r="F467" s="15"/>
      <c r="P467" s="15">
        <f>P466+'Edistynyt vuokratuottolaskuri'!$I$19</f>
        <v>14362.405930864492</v>
      </c>
    </row>
    <row r="468" spans="2:16" x14ac:dyDescent="0.2">
      <c r="B468" s="2">
        <v>460</v>
      </c>
      <c r="C468" s="15"/>
      <c r="D468" s="15"/>
      <c r="E468" s="15"/>
      <c r="F468" s="15"/>
      <c r="P468" s="15">
        <f>P467+'Edistynyt vuokratuottolaskuri'!$I$19</f>
        <v>14393.696575594044</v>
      </c>
    </row>
    <row r="469" spans="2:16" x14ac:dyDescent="0.2">
      <c r="B469" s="2">
        <v>461</v>
      </c>
      <c r="C469" s="15"/>
      <c r="D469" s="15"/>
      <c r="E469" s="15"/>
      <c r="F469" s="15"/>
      <c r="P469" s="15">
        <f>P468+'Edistynyt vuokratuottolaskuri'!$I$19</f>
        <v>14424.987220323595</v>
      </c>
    </row>
    <row r="470" spans="2:16" x14ac:dyDescent="0.2">
      <c r="B470" s="2">
        <v>462</v>
      </c>
      <c r="C470" s="15"/>
      <c r="D470" s="15"/>
      <c r="E470" s="15"/>
      <c r="F470" s="15"/>
      <c r="P470" s="15">
        <f>P469+'Edistynyt vuokratuottolaskuri'!$I$19</f>
        <v>14456.277865053147</v>
      </c>
    </row>
    <row r="471" spans="2:16" x14ac:dyDescent="0.2">
      <c r="B471" s="2">
        <v>463</v>
      </c>
      <c r="C471" s="15"/>
      <c r="D471" s="15"/>
      <c r="E471" s="15"/>
      <c r="F471" s="15"/>
      <c r="P471" s="15">
        <f>P470+'Edistynyt vuokratuottolaskuri'!$I$19</f>
        <v>14487.568509782699</v>
      </c>
    </row>
    <row r="472" spans="2:16" x14ac:dyDescent="0.2">
      <c r="B472" s="2">
        <v>464</v>
      </c>
      <c r="C472" s="15"/>
      <c r="D472" s="15"/>
      <c r="E472" s="15"/>
      <c r="F472" s="15"/>
      <c r="P472" s="15">
        <f>P471+'Edistynyt vuokratuottolaskuri'!$I$19</f>
        <v>14518.859154512251</v>
      </c>
    </row>
    <row r="473" spans="2:16" x14ac:dyDescent="0.2">
      <c r="B473" s="2">
        <v>465</v>
      </c>
      <c r="C473" s="15"/>
      <c r="D473" s="15"/>
      <c r="E473" s="15"/>
      <c r="F473" s="15"/>
      <c r="P473" s="15">
        <f>P472+'Edistynyt vuokratuottolaskuri'!$I$19</f>
        <v>14550.149799241803</v>
      </c>
    </row>
    <row r="474" spans="2:16" x14ac:dyDescent="0.2">
      <c r="B474" s="2">
        <v>466</v>
      </c>
      <c r="C474" s="15"/>
      <c r="D474" s="15"/>
      <c r="E474" s="15"/>
      <c r="F474" s="15"/>
      <c r="P474" s="15">
        <f>P473+'Edistynyt vuokratuottolaskuri'!$I$19</f>
        <v>14581.440443971354</v>
      </c>
    </row>
    <row r="475" spans="2:16" x14ac:dyDescent="0.2">
      <c r="B475" s="2">
        <v>467</v>
      </c>
      <c r="C475" s="15"/>
      <c r="D475" s="15"/>
      <c r="E475" s="15"/>
      <c r="F475" s="15"/>
      <c r="P475" s="15">
        <f>P474+'Edistynyt vuokratuottolaskuri'!$I$19</f>
        <v>14612.731088700906</v>
      </c>
    </row>
    <row r="476" spans="2:16" x14ac:dyDescent="0.2">
      <c r="B476" s="2">
        <v>468</v>
      </c>
      <c r="C476" s="15"/>
      <c r="D476" s="15"/>
      <c r="E476" s="15"/>
      <c r="F476" s="15"/>
      <c r="P476" s="15">
        <f>P475+'Edistynyt vuokratuottolaskuri'!$I$19</f>
        <v>14644.021733430458</v>
      </c>
    </row>
    <row r="477" spans="2:16" x14ac:dyDescent="0.2">
      <c r="B477" s="2">
        <v>469</v>
      </c>
      <c r="C477" s="15">
        <f>C465+('Edistynyt vuokratuottolaskuri'!$C$52*C465)</f>
        <v>113507.43315474549</v>
      </c>
      <c r="D477" s="15"/>
      <c r="E477" s="15"/>
      <c r="F477" s="15"/>
      <c r="P477" s="15">
        <f>P476+'Edistynyt vuokratuottolaskuri'!$I$19</f>
        <v>14675.31237816001</v>
      </c>
    </row>
    <row r="478" spans="2:16" x14ac:dyDescent="0.2">
      <c r="B478" s="2">
        <v>470</v>
      </c>
      <c r="C478" s="15"/>
      <c r="D478" s="15"/>
      <c r="E478" s="15"/>
      <c r="F478" s="15"/>
      <c r="P478" s="15">
        <f>P477+'Edistynyt vuokratuottolaskuri'!$I$19</f>
        <v>14706.603022889562</v>
      </c>
    </row>
    <row r="479" spans="2:16" x14ac:dyDescent="0.2">
      <c r="B479" s="2">
        <v>471</v>
      </c>
      <c r="C479" s="15"/>
      <c r="D479" s="15"/>
      <c r="E479" s="15"/>
      <c r="F479" s="15"/>
      <c r="P479" s="15">
        <f>P478+'Edistynyt vuokratuottolaskuri'!$I$19</f>
        <v>14737.893667619113</v>
      </c>
    </row>
    <row r="480" spans="2:16" x14ac:dyDescent="0.2">
      <c r="B480" s="2">
        <v>472</v>
      </c>
      <c r="C480" s="15"/>
      <c r="D480" s="15"/>
      <c r="E480" s="15"/>
      <c r="F480" s="15"/>
      <c r="P480" s="15">
        <f>P479+'Edistynyt vuokratuottolaskuri'!$I$19</f>
        <v>14769.184312348665</v>
      </c>
    </row>
    <row r="481" spans="2:16" x14ac:dyDescent="0.2">
      <c r="B481" s="2">
        <v>473</v>
      </c>
      <c r="C481" s="15"/>
      <c r="D481" s="15"/>
      <c r="E481" s="15"/>
      <c r="F481" s="15"/>
      <c r="P481" s="15">
        <f>P480+'Edistynyt vuokratuottolaskuri'!$I$19</f>
        <v>14800.474957078217</v>
      </c>
    </row>
    <row r="482" spans="2:16" x14ac:dyDescent="0.2">
      <c r="B482" s="2">
        <v>474</v>
      </c>
      <c r="C482" s="15"/>
      <c r="D482" s="15"/>
      <c r="E482" s="15"/>
      <c r="F482" s="15"/>
      <c r="P482" s="15">
        <f>P481+'Edistynyt vuokratuottolaskuri'!$I$19</f>
        <v>14831.765601807769</v>
      </c>
    </row>
    <row r="483" spans="2:16" x14ac:dyDescent="0.2">
      <c r="B483" s="2">
        <v>475</v>
      </c>
      <c r="C483" s="15"/>
      <c r="D483" s="15"/>
      <c r="E483" s="15"/>
      <c r="F483" s="15"/>
      <c r="P483" s="15">
        <f>P482+'Edistynyt vuokratuottolaskuri'!$I$19</f>
        <v>14863.05624653732</v>
      </c>
    </row>
    <row r="484" spans="2:16" x14ac:dyDescent="0.2">
      <c r="B484" s="2">
        <v>476</v>
      </c>
      <c r="C484" s="15"/>
      <c r="D484" s="15"/>
      <c r="E484" s="15"/>
      <c r="F484" s="15"/>
      <c r="P484" s="15">
        <f>P483+'Edistynyt vuokratuottolaskuri'!$I$19</f>
        <v>14894.346891266872</v>
      </c>
    </row>
    <row r="485" spans="2:16" x14ac:dyDescent="0.2">
      <c r="B485" s="2">
        <v>477</v>
      </c>
      <c r="C485" s="15"/>
      <c r="D485" s="15"/>
      <c r="E485" s="15"/>
      <c r="F485" s="15"/>
      <c r="P485" s="15">
        <f>P484+'Edistynyt vuokratuottolaskuri'!$I$19</f>
        <v>14925.637535996424</v>
      </c>
    </row>
    <row r="486" spans="2:16" x14ac:dyDescent="0.2">
      <c r="B486" s="2">
        <v>478</v>
      </c>
      <c r="C486" s="15"/>
      <c r="D486" s="15"/>
      <c r="E486" s="15"/>
      <c r="F486" s="15"/>
      <c r="P486" s="15">
        <f>P485+'Edistynyt vuokratuottolaskuri'!$I$19</f>
        <v>14956.928180725976</v>
      </c>
    </row>
    <row r="487" spans="2:16" x14ac:dyDescent="0.2">
      <c r="B487" s="2">
        <v>479</v>
      </c>
      <c r="C487" s="15"/>
      <c r="D487" s="15"/>
      <c r="E487" s="15"/>
      <c r="F487" s="15"/>
      <c r="P487" s="15">
        <f>P486+'Edistynyt vuokratuottolaskuri'!$I$19</f>
        <v>14988.218825455528</v>
      </c>
    </row>
    <row r="488" spans="2:16" x14ac:dyDescent="0.2">
      <c r="B488" s="2">
        <v>480</v>
      </c>
      <c r="C488" s="15"/>
      <c r="D488" s="15"/>
      <c r="E488" s="15"/>
      <c r="F488" s="15"/>
      <c r="P488" s="15">
        <f>P487+'Edistynyt vuokratuottolaskuri'!$I$19</f>
        <v>15019.509470185079</v>
      </c>
    </row>
    <row r="489" spans="2:16" x14ac:dyDescent="0.2">
      <c r="B489" s="2">
        <v>481</v>
      </c>
      <c r="C489" s="15">
        <f>C477+('Edistynyt vuokratuottolaskuri'!$C$52*C477)</f>
        <v>114642.50748629295</v>
      </c>
      <c r="D489" s="15"/>
      <c r="E489" s="15"/>
      <c r="F489" s="15"/>
      <c r="P489" s="15">
        <f>P488+'Edistynyt vuokratuottolaskuri'!$I$19</f>
        <v>15050.800114914631</v>
      </c>
    </row>
    <row r="490" spans="2:16" x14ac:dyDescent="0.2">
      <c r="B490" s="2">
        <v>482</v>
      </c>
      <c r="C490" s="15"/>
      <c r="D490" s="15"/>
      <c r="E490" s="15"/>
      <c r="F490" s="15"/>
      <c r="P490" s="15">
        <f>P489+'Edistynyt vuokratuottolaskuri'!$I$19</f>
        <v>15082.090759644183</v>
      </c>
    </row>
    <row r="491" spans="2:16" x14ac:dyDescent="0.2">
      <c r="B491" s="2">
        <v>483</v>
      </c>
      <c r="C491" s="15"/>
      <c r="D491" s="15"/>
      <c r="E491" s="15"/>
      <c r="F491" s="15"/>
      <c r="P491" s="15">
        <f>P490+'Edistynyt vuokratuottolaskuri'!$I$19</f>
        <v>15113.381404373735</v>
      </c>
    </row>
    <row r="492" spans="2:16" x14ac:dyDescent="0.2">
      <c r="B492" s="2">
        <v>484</v>
      </c>
      <c r="C492" s="15"/>
      <c r="D492" s="15"/>
      <c r="E492" s="15"/>
      <c r="F492" s="15"/>
      <c r="P492" s="15">
        <f>P491+'Edistynyt vuokratuottolaskuri'!$I$19</f>
        <v>15144.672049103287</v>
      </c>
    </row>
    <row r="493" spans="2:16" x14ac:dyDescent="0.2">
      <c r="B493" s="2">
        <v>485</v>
      </c>
      <c r="C493" s="15"/>
      <c r="D493" s="15"/>
      <c r="E493" s="15"/>
      <c r="F493" s="15"/>
      <c r="P493" s="15">
        <f>P492+'Edistynyt vuokratuottolaskuri'!$I$19</f>
        <v>15175.962693832838</v>
      </c>
    </row>
    <row r="494" spans="2:16" x14ac:dyDescent="0.2">
      <c r="B494" s="2">
        <v>486</v>
      </c>
      <c r="C494" s="15"/>
      <c r="D494" s="15"/>
      <c r="E494" s="15"/>
      <c r="F494" s="15"/>
      <c r="P494" s="15">
        <f>P493+'Edistynyt vuokratuottolaskuri'!$I$19</f>
        <v>15207.25333856239</v>
      </c>
    </row>
    <row r="495" spans="2:16" x14ac:dyDescent="0.2">
      <c r="B495" s="2">
        <v>487</v>
      </c>
      <c r="C495" s="15"/>
      <c r="D495" s="15"/>
      <c r="E495" s="15"/>
      <c r="F495" s="15"/>
      <c r="P495" s="15">
        <f>P494+'Edistynyt vuokratuottolaskuri'!$I$19</f>
        <v>15238.543983291942</v>
      </c>
    </row>
    <row r="496" spans="2:16" x14ac:dyDescent="0.2">
      <c r="B496" s="2">
        <v>488</v>
      </c>
      <c r="C496" s="15"/>
      <c r="D496" s="15"/>
      <c r="E496" s="15"/>
      <c r="F496" s="15"/>
      <c r="P496" s="15">
        <f>P495+'Edistynyt vuokratuottolaskuri'!$I$19</f>
        <v>15269.834628021494</v>
      </c>
    </row>
    <row r="497" spans="2:16" x14ac:dyDescent="0.2">
      <c r="B497" s="2">
        <v>489</v>
      </c>
      <c r="C497" s="15"/>
      <c r="D497" s="15"/>
      <c r="E497" s="15"/>
      <c r="F497" s="15"/>
      <c r="P497" s="15">
        <f>P496+'Edistynyt vuokratuottolaskuri'!$I$19</f>
        <v>15301.125272751045</v>
      </c>
    </row>
    <row r="498" spans="2:16" x14ac:dyDescent="0.2">
      <c r="B498" s="2">
        <v>490</v>
      </c>
      <c r="C498" s="15"/>
      <c r="D498" s="15"/>
      <c r="E498" s="15"/>
      <c r="F498" s="15"/>
      <c r="P498" s="15">
        <f>P497+'Edistynyt vuokratuottolaskuri'!$I$19</f>
        <v>15332.415917480597</v>
      </c>
    </row>
    <row r="499" spans="2:16" x14ac:dyDescent="0.2">
      <c r="B499" s="2">
        <v>491</v>
      </c>
      <c r="C499" s="15"/>
      <c r="D499" s="15"/>
      <c r="E499" s="15"/>
      <c r="F499" s="15"/>
      <c r="P499" s="15">
        <f>P498+'Edistynyt vuokratuottolaskuri'!$I$19</f>
        <v>15363.706562210149</v>
      </c>
    </row>
    <row r="500" spans="2:16" x14ac:dyDescent="0.2">
      <c r="B500" s="2">
        <v>492</v>
      </c>
      <c r="C500" s="15"/>
      <c r="D500" s="15"/>
      <c r="E500" s="15"/>
      <c r="F500" s="15"/>
      <c r="P500" s="15">
        <f>P499+'Edistynyt vuokratuottolaskuri'!$I$19</f>
        <v>15394.997206939701</v>
      </c>
    </row>
    <row r="501" spans="2:16" x14ac:dyDescent="0.2">
      <c r="B501" s="2">
        <v>493</v>
      </c>
      <c r="C501" s="15">
        <f>C489+('Edistynyt vuokratuottolaskuri'!$C$52*C489)</f>
        <v>115788.93256115587</v>
      </c>
      <c r="D501" s="15"/>
      <c r="E501" s="15"/>
      <c r="F501" s="15"/>
      <c r="P501" s="15">
        <f>P500+'Edistynyt vuokratuottolaskuri'!$I$19</f>
        <v>15426.287851669253</v>
      </c>
    </row>
    <row r="502" spans="2:16" x14ac:dyDescent="0.2">
      <c r="B502" s="2">
        <v>494</v>
      </c>
      <c r="C502" s="15"/>
      <c r="D502" s="15"/>
      <c r="E502" s="15"/>
      <c r="F502" s="15"/>
      <c r="P502" s="15">
        <f>P501+'Edistynyt vuokratuottolaskuri'!$I$19</f>
        <v>15457.578496398804</v>
      </c>
    </row>
    <row r="503" spans="2:16" x14ac:dyDescent="0.2">
      <c r="B503" s="2">
        <v>495</v>
      </c>
      <c r="C503" s="15"/>
      <c r="D503" s="15"/>
      <c r="E503" s="15"/>
      <c r="F503" s="15"/>
      <c r="P503" s="15">
        <f>P502+'Edistynyt vuokratuottolaskuri'!$I$19</f>
        <v>15488.869141128356</v>
      </c>
    </row>
    <row r="504" spans="2:16" x14ac:dyDescent="0.2">
      <c r="B504" s="2">
        <v>496</v>
      </c>
      <c r="C504" s="15"/>
      <c r="D504" s="15"/>
      <c r="E504" s="15"/>
      <c r="F504" s="15"/>
      <c r="P504" s="15">
        <f>P503+'Edistynyt vuokratuottolaskuri'!$I$19</f>
        <v>15520.159785857908</v>
      </c>
    </row>
    <row r="505" spans="2:16" x14ac:dyDescent="0.2">
      <c r="B505" s="2">
        <v>497</v>
      </c>
      <c r="C505" s="15"/>
      <c r="D505" s="15"/>
      <c r="E505" s="15"/>
      <c r="F505" s="15"/>
      <c r="P505" s="15">
        <f>P504+'Edistynyt vuokratuottolaskuri'!$I$19</f>
        <v>15551.45043058746</v>
      </c>
    </row>
    <row r="506" spans="2:16" x14ac:dyDescent="0.2">
      <c r="B506" s="2">
        <v>498</v>
      </c>
      <c r="C506" s="15"/>
      <c r="D506" s="15"/>
      <c r="E506" s="15"/>
      <c r="F506" s="15"/>
      <c r="P506" s="15">
        <f>P505+'Edistynyt vuokratuottolaskuri'!$I$19</f>
        <v>15582.741075317012</v>
      </c>
    </row>
    <row r="507" spans="2:16" x14ac:dyDescent="0.2">
      <c r="B507" s="2">
        <v>499</v>
      </c>
      <c r="C507" s="15"/>
      <c r="D507" s="15"/>
      <c r="E507" s="15"/>
      <c r="F507" s="15"/>
      <c r="P507" s="15">
        <f>P506+'Edistynyt vuokratuottolaskuri'!$I$19</f>
        <v>15614.031720046563</v>
      </c>
    </row>
    <row r="508" spans="2:16" x14ac:dyDescent="0.2">
      <c r="B508" s="2">
        <v>500</v>
      </c>
      <c r="C508" s="15"/>
      <c r="D508" s="15"/>
      <c r="E508" s="15"/>
      <c r="F508" s="15"/>
      <c r="P508" s="15">
        <f>P507+'Edistynyt vuokratuottolaskuri'!$I$19</f>
        <v>15645.322364776115</v>
      </c>
    </row>
    <row r="509" spans="2:16" x14ac:dyDescent="0.2">
      <c r="B509" s="2">
        <v>501</v>
      </c>
      <c r="C509" s="15"/>
      <c r="D509" s="15"/>
      <c r="E509" s="15"/>
      <c r="F509" s="15"/>
      <c r="P509" s="15">
        <f>P508+'Edistynyt vuokratuottolaskuri'!$I$19</f>
        <v>15676.613009505667</v>
      </c>
    </row>
    <row r="510" spans="2:16" x14ac:dyDescent="0.2">
      <c r="B510" s="2">
        <v>502</v>
      </c>
      <c r="C510" s="15"/>
      <c r="D510" s="15"/>
      <c r="E510" s="15"/>
      <c r="F510" s="15"/>
      <c r="P510" s="15">
        <f>P509+'Edistynyt vuokratuottolaskuri'!$I$19</f>
        <v>15707.903654235219</v>
      </c>
    </row>
    <row r="511" spans="2:16" x14ac:dyDescent="0.2">
      <c r="B511" s="2">
        <v>503</v>
      </c>
      <c r="C511" s="15"/>
      <c r="D511" s="15"/>
      <c r="E511" s="15"/>
      <c r="F511" s="15"/>
      <c r="P511" s="15">
        <f>P510+'Edistynyt vuokratuottolaskuri'!$I$19</f>
        <v>15739.19429896477</v>
      </c>
    </row>
    <row r="512" spans="2:16" x14ac:dyDescent="0.2">
      <c r="B512" s="2">
        <v>504</v>
      </c>
      <c r="C512" s="15"/>
      <c r="D512" s="15"/>
      <c r="E512" s="15"/>
      <c r="F512" s="15"/>
      <c r="P512" s="15">
        <f>P511+'Edistynyt vuokratuottolaskuri'!$I$19</f>
        <v>15770.484943694322</v>
      </c>
    </row>
    <row r="513" spans="2:16" x14ac:dyDescent="0.2">
      <c r="B513" s="2">
        <v>505</v>
      </c>
      <c r="C513" s="15">
        <f>C501+('Edistynyt vuokratuottolaskuri'!$C$52*C501)</f>
        <v>116946.82188676743</v>
      </c>
      <c r="D513" s="15"/>
      <c r="E513" s="15"/>
      <c r="F513" s="15"/>
      <c r="P513" s="15">
        <f>P512+'Edistynyt vuokratuottolaskuri'!$I$19</f>
        <v>15801.775588423874</v>
      </c>
    </row>
    <row r="514" spans="2:16" x14ac:dyDescent="0.2">
      <c r="B514" s="2">
        <v>506</v>
      </c>
      <c r="C514" s="15"/>
      <c r="D514" s="15"/>
      <c r="E514" s="15"/>
      <c r="F514" s="15"/>
      <c r="P514" s="15">
        <f>P513+'Edistynyt vuokratuottolaskuri'!$I$19</f>
        <v>15833.066233153426</v>
      </c>
    </row>
    <row r="515" spans="2:16" x14ac:dyDescent="0.2">
      <c r="B515" s="2">
        <v>507</v>
      </c>
      <c r="C515" s="15"/>
      <c r="D515" s="15"/>
      <c r="E515" s="15"/>
      <c r="F515" s="15"/>
      <c r="P515" s="15">
        <f>P514+'Edistynyt vuokratuottolaskuri'!$I$19</f>
        <v>15864.356877882978</v>
      </c>
    </row>
    <row r="516" spans="2:16" x14ac:dyDescent="0.2">
      <c r="B516" s="2">
        <v>508</v>
      </c>
      <c r="C516" s="15"/>
      <c r="D516" s="15"/>
      <c r="E516" s="15"/>
      <c r="F516" s="15"/>
      <c r="P516" s="15">
        <f>P515+'Edistynyt vuokratuottolaskuri'!$I$19</f>
        <v>15895.647522612529</v>
      </c>
    </row>
    <row r="517" spans="2:16" x14ac:dyDescent="0.2">
      <c r="B517" s="2">
        <v>509</v>
      </c>
      <c r="C517" s="15"/>
      <c r="D517" s="15"/>
      <c r="E517" s="15"/>
      <c r="F517" s="15"/>
    </row>
    <row r="518" spans="2:16" x14ac:dyDescent="0.2">
      <c r="C518" s="15"/>
      <c r="D518" s="15"/>
      <c r="E518" s="15"/>
      <c r="F518" s="15"/>
    </row>
  </sheetData>
  <mergeCells count="2">
    <mergeCell ref="C6:M6"/>
    <mergeCell ref="AA1:A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J30"/>
  <sheetViews>
    <sheetView workbookViewId="0">
      <selection activeCell="A3" sqref="A3"/>
    </sheetView>
  </sheetViews>
  <sheetFormatPr baseColWidth="10" defaultColWidth="9.19921875" defaultRowHeight="16" x14ac:dyDescent="0.2"/>
  <cols>
    <col min="1" max="1" width="9.19921875" style="3"/>
    <col min="2" max="2" width="12.796875" style="3" customWidth="1"/>
    <col min="3" max="3" width="23.796875" style="3" customWidth="1"/>
    <col min="4" max="4" width="19.19921875" style="3" customWidth="1"/>
    <col min="5" max="5" width="21.19921875" style="3" customWidth="1"/>
    <col min="6" max="9" width="19.19921875" style="3" customWidth="1"/>
    <col min="10" max="10" width="47.796875" style="3" customWidth="1"/>
    <col min="11" max="16384" width="9.19921875" style="3"/>
  </cols>
  <sheetData>
    <row r="2" spans="2:10" x14ac:dyDescent="0.2">
      <c r="B2" s="2"/>
      <c r="C2" s="157" t="s">
        <v>74</v>
      </c>
      <c r="D2" s="157"/>
      <c r="E2" s="157"/>
      <c r="F2" s="157"/>
      <c r="G2" s="157"/>
      <c r="H2" s="157"/>
      <c r="I2" s="2"/>
    </row>
    <row r="3" spans="2:10" x14ac:dyDescent="0.2">
      <c r="B3" s="2"/>
      <c r="C3" s="2"/>
      <c r="D3" s="2"/>
      <c r="E3" s="2"/>
      <c r="F3" s="2"/>
      <c r="G3" s="2"/>
      <c r="H3" s="2"/>
      <c r="I3" s="2"/>
    </row>
    <row r="4" spans="2:10" ht="20.25" customHeight="1" x14ac:dyDescent="0.2">
      <c r="B4" s="2" t="s">
        <v>75</v>
      </c>
      <c r="C4" s="2" t="s">
        <v>32</v>
      </c>
      <c r="D4" s="2" t="s">
        <v>33</v>
      </c>
      <c r="E4" s="2" t="s">
        <v>213</v>
      </c>
      <c r="F4" s="2" t="s">
        <v>72</v>
      </c>
      <c r="G4" s="2" t="s">
        <v>115</v>
      </c>
      <c r="H4" s="2"/>
      <c r="I4" s="2"/>
      <c r="J4" s="3" t="s">
        <v>221</v>
      </c>
    </row>
    <row r="5" spans="2:10" ht="20.25" customHeight="1" x14ac:dyDescent="0.2">
      <c r="B5" s="2" t="s">
        <v>211</v>
      </c>
      <c r="C5" s="15">
        <f ca="1">OFFSET('Data kuukausina'!$C$9,1,0)</f>
        <v>77000</v>
      </c>
      <c r="D5" s="20">
        <f ca="1">OFFSET('Data kuukausina'!$G$9,0,0)</f>
        <v>41299.428612623968</v>
      </c>
      <c r="E5" s="20">
        <f ca="1">OFFSET('Data kuukausina'!$L$9,0,0)</f>
        <v>53209.012468012894</v>
      </c>
      <c r="F5" s="20">
        <f ca="1">OFFSET('Data kuukausina'!$M$9,0,0)</f>
        <v>18790.987531987106</v>
      </c>
      <c r="G5" s="20">
        <f ca="1">OFFSET('Data kuukausina'!$P$9,0,0)</f>
        <v>31.290644729552469</v>
      </c>
      <c r="H5" s="20">
        <f ca="1">OFFSET('Data kuukausina'!$Q$9,0,0)</f>
        <v>0</v>
      </c>
      <c r="I5" s="20">
        <f ca="1">OFFSET('Data kuukausina'!$W$9,0,0)</f>
        <v>31.290644729552469</v>
      </c>
      <c r="J5" s="20">
        <f ca="1">OFFSET('Data kuukausina'!$V$9,0,0)</f>
        <v>0</v>
      </c>
    </row>
    <row r="6" spans="2:10" x14ac:dyDescent="0.2">
      <c r="B6" s="2" t="str">
        <f ca="1">OFFSET('Data kuukausina'!$A$9,12,0)</f>
        <v>1 vuosi</v>
      </c>
      <c r="C6" s="15">
        <f ca="1">OFFSET('Data kuukausina'!$C$9,12,0)</f>
        <v>77770</v>
      </c>
      <c r="D6" s="20">
        <f ca="1">OFFSET('Data kuukausina'!$G$9,12,0)</f>
        <v>39594.185540878585</v>
      </c>
      <c r="E6" s="20">
        <f ca="1">OFFSET('Data kuukausina'!$L$9,12,0)</f>
        <v>50406.949431337358</v>
      </c>
      <c r="F6" s="20">
        <f ca="1">OFFSET('Data kuukausina'!$M$9,12,0)</f>
        <v>21593.050568662635</v>
      </c>
      <c r="G6" s="20">
        <f ca="1">OFFSET('Data kuukausina'!$P$9,12,0)</f>
        <v>406.77838148418209</v>
      </c>
      <c r="H6" s="20">
        <f ca="1">OFFSET('Data kuukausina'!$Q$9,12,0)</f>
        <v>2.0344503839969099</v>
      </c>
      <c r="I6" s="20">
        <f ca="1">OFFSET('Data kuukausina'!$W$9,12,0)</f>
        <v>420.00230898016196</v>
      </c>
      <c r="J6" s="20">
        <f ca="1">OFFSET('Data kuukausina'!$V$9,12,0)</f>
        <v>7502.8884389265449</v>
      </c>
    </row>
    <row r="7" spans="2:10" x14ac:dyDescent="0.2">
      <c r="B7" s="2" t="str">
        <f ca="1">OFFSET('Data kuukausina'!$A$9,24,0)</f>
        <v>2 vuosi</v>
      </c>
      <c r="C7" s="15">
        <f ca="1">OFFSET('Data kuukausina'!$C$9,24,0)</f>
        <v>78547.7</v>
      </c>
      <c r="D7" s="20">
        <f ca="1">OFFSET('Data kuukausina'!$G$9,24,0)</f>
        <v>37854.52323644967</v>
      </c>
      <c r="E7" s="20">
        <f ca="1">OFFSET('Data kuukausina'!$L$9,24,0)</f>
        <v>47548.328557687579</v>
      </c>
      <c r="F7" s="20">
        <f ca="1">OFFSET('Data kuukausina'!$M$9,24,0)</f>
        <v>24451.671442312429</v>
      </c>
      <c r="G7" s="20">
        <f ca="1">OFFSET('Data kuukausina'!$P$9,24,0)</f>
        <v>782.26611823881171</v>
      </c>
      <c r="H7" s="20">
        <f ca="1">OFFSET('Data kuukausina'!$Q$9,24,0)</f>
        <v>4.0689007679938198</v>
      </c>
      <c r="I7" s="20">
        <f ca="1">OFFSET('Data kuukausina'!$W$9,24,0)</f>
        <v>833.12737783873445</v>
      </c>
      <c r="J7" s="20">
        <f ca="1">OFFSET('Data kuukausina'!$V$9,24,0)</f>
        <v>12046.407431436908</v>
      </c>
    </row>
    <row r="8" spans="2:10" x14ac:dyDescent="0.2">
      <c r="B8" s="2" t="str">
        <f ca="1">OFFSET('Data kuukausina'!$A$9,36,0)</f>
        <v>3 vuosi</v>
      </c>
      <c r="C8" s="15">
        <f ca="1">OFFSET('Data kuukausina'!$C$9,36,0)</f>
        <v>79333.176999999996</v>
      </c>
      <c r="D8" s="20">
        <f ca="1">OFFSET('Data kuukausina'!$G$9,36,0)</f>
        <v>36079.746969302476</v>
      </c>
      <c r="E8" s="20">
        <f ca="1">OFFSET('Data kuukausina'!$L$9,36,0)</f>
        <v>44632.008263565491</v>
      </c>
      <c r="F8" s="20">
        <f ca="1">OFFSET('Data kuukausina'!$M$9,36,0)</f>
        <v>27367.991736434509</v>
      </c>
      <c r="G8" s="20">
        <f ca="1">OFFSET('Data kuukausina'!$P$9,36,0)</f>
        <v>1157.7538549934413</v>
      </c>
      <c r="H8" s="20">
        <f ca="1">OFFSET('Data kuukausina'!$Q$9,36,0)</f>
        <v>6.1033511519907293</v>
      </c>
      <c r="I8" s="20">
        <f ca="1">OFFSET('Data kuukausina'!$W$9,36,0)</f>
        <v>1270.6658513052698</v>
      </c>
      <c r="J8" s="20">
        <f ca="1">OFFSET('Data kuukausina'!$V$9,36,0)</f>
        <v>17000.711804991464</v>
      </c>
    </row>
    <row r="9" spans="2:10" x14ac:dyDescent="0.2">
      <c r="B9" s="2" t="str">
        <f ca="1">OFFSET('Data kuukausina'!$A$9,48,0)</f>
        <v>4 vuosi</v>
      </c>
      <c r="C9" s="15">
        <f ca="1">OFFSET('Data kuukausina'!$C$9,48,0)</f>
        <v>80126.50877</v>
      </c>
      <c r="D9" s="20">
        <f ca="1">OFFSET('Data kuukausina'!$G$9,48,0)</f>
        <v>34269.147986724092</v>
      </c>
      <c r="E9" s="20">
        <f ca="1">OFFSET('Data kuukausina'!$L$9,48,0)</f>
        <v>41656.823923345662</v>
      </c>
      <c r="F9" s="20">
        <f ca="1">OFFSET('Data kuukausina'!$M$9,48,0)</f>
        <v>30343.176076654338</v>
      </c>
      <c r="G9" s="20">
        <f ca="1">OFFSET('Data kuukausina'!$P$9,48,0)</f>
        <v>1533.241591748071</v>
      </c>
      <c r="H9" s="20">
        <f ca="1">OFFSET('Data kuukausina'!$Q$9,48,0)</f>
        <v>8.1378015359876397</v>
      </c>
      <c r="I9" s="20">
        <f ca="1">OFFSET('Data kuukausina'!$W$9,48,0)</f>
        <v>1732.6177293797682</v>
      </c>
      <c r="J9" s="20">
        <f ca="1">OFFSET('Data kuukausina'!$V$9,48,0)</f>
        <v>22406.159143063611</v>
      </c>
    </row>
    <row r="10" spans="2:10" x14ac:dyDescent="0.2">
      <c r="B10" s="2" t="str">
        <f ca="1">OFFSET('Data kuukausina'!$A$9,60,0)</f>
        <v>5 vuosi</v>
      </c>
      <c r="C10" s="15">
        <f ca="1">OFFSET('Data kuukausina'!$C$9,60,0)</f>
        <v>80927.773857699998</v>
      </c>
      <c r="D10" s="20">
        <f ca="1">OFFSET('Data kuukausina'!$G$9,60,0)</f>
        <v>32422.003230284794</v>
      </c>
      <c r="E10" s="20">
        <f ca="1">OFFSET('Data kuukausina'!$L$9,60,0)</f>
        <v>38621.587404184815</v>
      </c>
      <c r="F10" s="20">
        <f ca="1">OFFSET('Data kuukausina'!$M$9,60,0)</f>
        <v>33378.412595815185</v>
      </c>
      <c r="G10" s="20">
        <f ca="1">OFFSET('Data kuukausina'!$P$9,60,0)</f>
        <v>1908.7293285027006</v>
      </c>
      <c r="H10" s="20">
        <f ca="1">OFFSET('Data kuukausina'!$Q$9,60,0)</f>
        <v>10.17225191998455</v>
      </c>
      <c r="I10" s="20">
        <f ca="1">OFFSET('Data kuukausina'!$W$9,60,0)</f>
        <v>2218.9830120622291</v>
      </c>
      <c r="J10" s="20">
        <f ca="1">OFFSET('Data kuukausina'!$V$9,60,0)</f>
        <v>28307.129819544065</v>
      </c>
    </row>
    <row r="11" spans="2:10" x14ac:dyDescent="0.2">
      <c r="B11" s="2" t="str">
        <f ca="1">OFFSET('Data kuukausina'!$A$9,72,0)</f>
        <v>6 vuosi</v>
      </c>
      <c r="C11" s="15">
        <f ca="1">OFFSET('Data kuukausina'!$C$9,72,0)</f>
        <v>81737.051596277</v>
      </c>
      <c r="D11" s="20">
        <f ca="1">OFFSET('Data kuukausina'!$G$9,72,0)</f>
        <v>30537.575047086295</v>
      </c>
      <c r="E11" s="20">
        <f ca="1">OFFSET('Data kuukausina'!$L$9,72,0)</f>
        <v>35525.086591543732</v>
      </c>
      <c r="F11" s="20">
        <f ca="1">OFFSET('Data kuukausina'!$M$9,72,0)</f>
        <v>36474.913408456268</v>
      </c>
      <c r="G11" s="20">
        <f ca="1">OFFSET('Data kuukausina'!$P$9,72,0)</f>
        <v>2284.2170652573313</v>
      </c>
      <c r="H11" s="20">
        <f ca="1">OFFSET('Data kuukausina'!$Q$9,72,0)</f>
        <v>12.206702303981464</v>
      </c>
      <c r="I11" s="20">
        <f ca="1">OFFSET('Data kuukausina'!$W$9,72,0)</f>
        <v>2729.7616993526531</v>
      </c>
      <c r="J11" s="20">
        <f ca="1">OFFSET('Data kuukausina'!$V$9,72,0)</f>
        <v>34752.42903187406</v>
      </c>
    </row>
    <row r="12" spans="2:10" x14ac:dyDescent="0.2">
      <c r="B12" s="2" t="str">
        <f ca="1">OFFSET('Data kuukausina'!$A$9,84,0)</f>
        <v>7 vuosi</v>
      </c>
      <c r="C12" s="15">
        <f ca="1">OFFSET('Data kuukausina'!$C$9,84,0)</f>
        <v>82554.422112239772</v>
      </c>
      <c r="D12" s="20">
        <f ca="1">OFFSET('Data kuukausina'!$G$9,84,0)</f>
        <v>28615.110895181871</v>
      </c>
      <c r="E12" s="20">
        <f ca="1">OFFSET('Data kuukausina'!$L$9,84,0)</f>
        <v>32366.084905132248</v>
      </c>
      <c r="F12" s="20">
        <f ca="1">OFFSET('Data kuukausina'!$M$9,84,0)</f>
        <v>39633.915094867756</v>
      </c>
      <c r="G12" s="20">
        <f ca="1">OFFSET('Data kuukausina'!$P$9,84,0)</f>
        <v>2659.7048020119637</v>
      </c>
      <c r="H12" s="20">
        <f ca="1">OFFSET('Data kuukausina'!$Q$9,84,0)</f>
        <v>14.241152687978389</v>
      </c>
      <c r="I12" s="20">
        <f ca="1">OFFSET('Data kuukausina'!$W$9,84,0)</f>
        <v>3264.95379125104</v>
      </c>
      <c r="J12" s="20">
        <f ca="1">OFFSET('Data kuukausina'!$V$9,84,0)</f>
        <v>41795.729032686642</v>
      </c>
    </row>
    <row r="13" spans="2:10" x14ac:dyDescent="0.2">
      <c r="B13" s="2" t="str">
        <f ca="1">OFFSET('Data kuukausina'!$A$9,96,0)</f>
        <v>8 vuosi</v>
      </c>
      <c r="C13" s="15">
        <f ca="1">OFFSET('Data kuukausina'!$C$9,96,0)</f>
        <v>83379.966333362172</v>
      </c>
      <c r="D13" s="20">
        <f ca="1">OFFSET('Data kuukausina'!$G$9,96,0)</f>
        <v>26653.843043050478</v>
      </c>
      <c r="E13" s="20">
        <f ca="1">OFFSET('Data kuukausina'!$L$9,96,0)</f>
        <v>29143.320805083771</v>
      </c>
      <c r="F13" s="20">
        <f ca="1">OFFSET('Data kuukausina'!$M$9,96,0)</f>
        <v>42856.679194916229</v>
      </c>
      <c r="G13" s="20">
        <f ca="1">OFFSET('Data kuukausina'!$P$9,96,0)</f>
        <v>3035.192538766596</v>
      </c>
      <c r="H13" s="20">
        <f ca="1">OFFSET('Data kuukausina'!$Q$9,96,0)</f>
        <v>16.275603071975315</v>
      </c>
      <c r="I13" s="20">
        <f ca="1">OFFSET('Data kuukausina'!$W$9,96,0)</f>
        <v>3824.5592877573904</v>
      </c>
      <c r="J13" s="20">
        <f ca="1">OFFSET('Data kuukausina'!$V$9,96,0)</f>
        <v>49496.055579711785</v>
      </c>
    </row>
    <row r="14" spans="2:10" x14ac:dyDescent="0.2">
      <c r="B14" s="2" t="str">
        <f ca="1">OFFSET('Data kuukausina'!$A$9,108,0)</f>
        <v>9 vuosi</v>
      </c>
      <c r="C14" s="15">
        <f ca="1">OFFSET('Data kuukausina'!$C$9,108,0)</f>
        <v>84213.765996695787</v>
      </c>
      <c r="D14" s="20">
        <f ca="1">OFFSET('Data kuukausina'!$G$9,108,0)</f>
        <v>24652.988263004969</v>
      </c>
      <c r="E14" s="20">
        <f ca="1">OFFSET('Data kuukausina'!$L$9,108,0)</f>
        <v>25855.507288162342</v>
      </c>
      <c r="F14" s="20">
        <f ca="1">OFFSET('Data kuukausina'!$M$9,108,0)</f>
        <v>46144.492711837651</v>
      </c>
      <c r="G14" s="20">
        <f ca="1">OFFSET('Data kuukausina'!$P$9,108,0)</f>
        <v>3410.6802755212284</v>
      </c>
      <c r="H14" s="20">
        <f ca="1">OFFSET('Data kuukausina'!$Q$9,108,0)</f>
        <v>18.310053455972238</v>
      </c>
      <c r="I14" s="20">
        <f ca="1">OFFSET('Data kuukausina'!$W$9,108,0)</f>
        <v>4408.5781888717056</v>
      </c>
      <c r="J14" s="20">
        <f ca="1">OFFSET('Data kuukausina'!$V$9,108,0)</f>
        <v>57918.323025674064</v>
      </c>
    </row>
    <row r="15" spans="2:10" x14ac:dyDescent="0.2">
      <c r="B15" s="2" t="str">
        <f ca="1">OFFSET('Data kuukausina'!$A$9,120,0)</f>
        <v>10 vuosi</v>
      </c>
      <c r="C15" s="15">
        <f ca="1">OFFSET('Data kuukausina'!$C$9,120,0)</f>
        <v>85055.903656662747</v>
      </c>
      <c r="D15" s="20">
        <f ca="1">OFFSET('Data kuukausina'!$G$9,120,0)</f>
        <v>22611.747518411994</v>
      </c>
      <c r="E15" s="20">
        <f ca="1">OFFSET('Data kuukausina'!$L$9,120,0)</f>
        <v>22611.747518411994</v>
      </c>
      <c r="F15" s="20">
        <f ca="1">OFFSET('Data kuukausina'!$M$9,120,0)</f>
        <v>49388.252481588002</v>
      </c>
      <c r="G15" s="20">
        <f ca="1">OFFSET('Data kuukausina'!$P$9,120,0)</f>
        <v>3786.1680122758607</v>
      </c>
      <c r="H15" s="20">
        <f ca="1">OFFSET('Data kuukausina'!$Q$9,120,0)</f>
        <v>20.344503839969164</v>
      </c>
      <c r="I15" s="20">
        <f ca="1">OFFSET('Data kuukausina'!$W$9,120,0)</f>
        <v>5017.0104945939847</v>
      </c>
      <c r="J15" s="20">
        <f ca="1">OFFSET('Data kuukausina'!$V$9,120,0)</f>
        <v>67133.922912083042</v>
      </c>
    </row>
    <row r="16" spans="2:10" x14ac:dyDescent="0.2">
      <c r="B16" s="2" t="str">
        <f ca="1">OFFSET('Data kuukausina'!$A$9,132,0)</f>
        <v>11 vuosi</v>
      </c>
      <c r="C16" s="15">
        <f ca="1">OFFSET('Data kuukausina'!$C$9,132,0)</f>
        <v>85906.462693229376</v>
      </c>
      <c r="D16" s="20">
        <f ca="1">OFFSET('Data kuukausina'!$G$9,132,0)</f>
        <v>20529.305644598575</v>
      </c>
      <c r="E16" s="20">
        <f ca="1">OFFSET('Data kuukausina'!$L$9,132,0)</f>
        <v>20529.305644598575</v>
      </c>
      <c r="F16" s="20">
        <f ca="1">OFFSET('Data kuukausina'!$M$9,132,0)</f>
        <v>51470.694355401429</v>
      </c>
      <c r="G16" s="20">
        <f ca="1">OFFSET('Data kuukausina'!$P$9,132,0)</f>
        <v>4161.6557490304931</v>
      </c>
      <c r="H16" s="20">
        <f ca="1">OFFSET('Data kuukausina'!$Q$9,132,0)</f>
        <v>22.378954223966087</v>
      </c>
      <c r="I16" s="20">
        <f ca="1">OFFSET('Data kuukausina'!$W$9,132,0)</f>
        <v>5649.8562049242273</v>
      </c>
      <c r="J16" s="20">
        <f ca="1">OFFSET('Data kuukausina'!$V$9,132,0)</f>
        <v>75884.164175718455</v>
      </c>
    </row>
    <row r="17" spans="2:10" x14ac:dyDescent="0.2">
      <c r="B17" s="2" t="str">
        <f ca="1">OFFSET('Data kuukausina'!$A$9,144,0)</f>
        <v>12 vuosi</v>
      </c>
      <c r="C17" s="15">
        <f ca="1">OFFSET('Data kuukausina'!$C$9,144,0)</f>
        <v>86765.527320161666</v>
      </c>
      <c r="D17" s="20">
        <f ca="1">OFFSET('Data kuukausina'!$G$9,144,0)</f>
        <v>18404.831023318056</v>
      </c>
      <c r="E17" s="20">
        <f ca="1">OFFSET('Data kuukausina'!$L$9,144,0)</f>
        <v>18404.831023318056</v>
      </c>
      <c r="F17" s="20">
        <f ca="1">OFFSET('Data kuukausina'!$M$9,144,0)</f>
        <v>53595.168976681947</v>
      </c>
      <c r="G17" s="20">
        <f ca="1">OFFSET('Data kuukausina'!$P$9,144,0)</f>
        <v>4537.1434857851254</v>
      </c>
      <c r="H17" s="20">
        <f ca="1">OFFSET('Data kuukausina'!$Q$9,144,0)</f>
        <v>24.413404607963013</v>
      </c>
      <c r="I17" s="20">
        <f ca="1">OFFSET('Data kuukausina'!$W$9,144,0)</f>
        <v>6307.1153198624334</v>
      </c>
      <c r="J17" s="20">
        <f ca="1">OFFSET('Data kuukausina'!$V$9,144,0)</f>
        <v>85472.011887068627</v>
      </c>
    </row>
    <row r="18" spans="2:10" x14ac:dyDescent="0.2">
      <c r="B18" s="2" t="str">
        <f ca="1">OFFSET('Data kuukausina'!$A$9,156,0)</f>
        <v>13 vuosi</v>
      </c>
      <c r="C18" s="15">
        <f ca="1">OFFSET('Data kuukausina'!$C$9,156,0)</f>
        <v>87633.182593363279</v>
      </c>
      <c r="D18" s="20">
        <f ca="1">OFFSET('Data kuukausina'!$G$9,156,0)</f>
        <v>16237.475250645295</v>
      </c>
      <c r="E18" s="20">
        <f ca="1">OFFSET('Data kuukausina'!$L$9,156,0)</f>
        <v>16237.475250645295</v>
      </c>
      <c r="F18" s="20">
        <f ca="1">OFFSET('Data kuukausina'!$M$9,156,0)</f>
        <v>55762.524749354707</v>
      </c>
      <c r="G18" s="20">
        <f ca="1">OFFSET('Data kuukausina'!$P$9,156,0)</f>
        <v>4912.6312225397578</v>
      </c>
      <c r="H18" s="20">
        <f ca="1">OFFSET('Data kuukausina'!$Q$9,156,0)</f>
        <v>26.447854991959936</v>
      </c>
      <c r="I18" s="20">
        <f ca="1">OFFSET('Data kuukausina'!$W$9,156,0)</f>
        <v>6988.787839408601</v>
      </c>
      <c r="J18" s="20">
        <f ca="1">OFFSET('Data kuukausina'!$V$9,156,0)</f>
        <v>95980.644687085529</v>
      </c>
    </row>
    <row r="19" spans="2:10" x14ac:dyDescent="0.2">
      <c r="B19" s="2" t="str">
        <f ca="1">OFFSET('Data kuukausina'!$A$9,168,0)</f>
        <v>14 vuosi</v>
      </c>
      <c r="C19" s="15">
        <f ca="1">OFFSET('Data kuukausina'!$C$9,168,0)</f>
        <v>88509.514419296916</v>
      </c>
      <c r="D19" s="20">
        <f ca="1">OFFSET('Data kuukausina'!$G$9,168,0)</f>
        <v>14026.372798168548</v>
      </c>
      <c r="E19" s="20">
        <f ca="1">OFFSET('Data kuukausina'!$L$9,168,0)</f>
        <v>14026.372798168548</v>
      </c>
      <c r="F19" s="20">
        <f ca="1">OFFSET('Data kuukausina'!$M$9,168,0)</f>
        <v>57973.627201831448</v>
      </c>
      <c r="G19" s="20">
        <f ca="1">OFFSET('Data kuukausina'!$P$9,168,0)</f>
        <v>5288.1189592943902</v>
      </c>
      <c r="H19" s="20">
        <f ca="1">OFFSET('Data kuukausina'!$Q$9,168,0)</f>
        <v>28.482305375956862</v>
      </c>
      <c r="I19" s="20">
        <f ca="1">OFFSET('Data kuukausina'!$W$9,168,0)</f>
        <v>7694.8737635627322</v>
      </c>
      <c r="J19" s="20">
        <f ca="1">OFFSET('Data kuukausina'!$V$9,168,0)</f>
        <v>107501.54906592345</v>
      </c>
    </row>
    <row r="20" spans="2:10" x14ac:dyDescent="0.2">
      <c r="B20" s="2" t="str">
        <f ca="1">OFFSET('Data kuukausina'!$A$9,180,0)</f>
        <v>15 vuosi</v>
      </c>
      <c r="C20" s="15">
        <f ca="1">OFFSET('Data kuukausina'!$C$9,180,0)</f>
        <v>89394.609563489881</v>
      </c>
      <c r="D20" s="20">
        <f ca="1">OFFSET('Data kuukausina'!$G$9,180,0)</f>
        <v>11770.640667342766</v>
      </c>
      <c r="E20" s="20">
        <f ca="1">OFFSET('Data kuukausina'!$L$9,180,0)</f>
        <v>11770.640667342766</v>
      </c>
      <c r="F20" s="20">
        <f ca="1">OFFSET('Data kuukausina'!$M$9,180,0)</f>
        <v>60229.35933265723</v>
      </c>
      <c r="G20" s="20">
        <f ca="1">OFFSET('Data kuukausina'!$P$9,180,0)</f>
        <v>5663.6066960490225</v>
      </c>
      <c r="H20" s="20">
        <f ca="1">OFFSET('Data kuukausina'!$Q$9,180,0)</f>
        <v>30.516755759953785</v>
      </c>
      <c r="I20" s="20">
        <f ca="1">OFFSET('Data kuukausina'!$W$9,180,0)</f>
        <v>8425.3730923248258</v>
      </c>
      <c r="J20" s="20">
        <f ca="1">OFFSET('Data kuukausina'!$V$9,180,0)</f>
        <v>120135.34996303967</v>
      </c>
    </row>
    <row r="21" spans="2:10" x14ac:dyDescent="0.2">
      <c r="B21" s="2" t="str">
        <f ca="1">OFFSET('Data kuukausina'!$A$9,192,0)</f>
        <v>16 vuosi</v>
      </c>
      <c r="C21" s="15">
        <f ca="1">OFFSET('Data kuukausina'!$C$9,192,0)</f>
        <v>90288.555659124773</v>
      </c>
      <c r="D21" s="20">
        <f ca="1">OFFSET('Data kuukausina'!$G$9,192,0)</f>
        <v>9469.3780368662083</v>
      </c>
      <c r="E21" s="20">
        <f ca="1">OFFSET('Data kuukausina'!$L$9,192,0)</f>
        <v>9469.3780368662083</v>
      </c>
      <c r="F21" s="20">
        <f ca="1">OFFSET('Data kuukausina'!$M$9,192,0)</f>
        <v>62530.621963133788</v>
      </c>
      <c r="G21" s="20">
        <f ca="1">OFFSET('Data kuukausina'!$P$9,192,0)</f>
        <v>6039.0944328036549</v>
      </c>
      <c r="H21" s="20">
        <f ca="1">OFFSET('Data kuukausina'!$Q$9,192,0)</f>
        <v>32.551206143950708</v>
      </c>
      <c r="I21" s="20">
        <f ca="1">OFFSET('Data kuukausina'!$W$9,192,0)</f>
        <v>9180.285825694873</v>
      </c>
      <c r="J21" s="20">
        <f ca="1">OFFSET('Data kuukausina'!$V$9,192,0)</f>
        <v>133992.72442374838</v>
      </c>
    </row>
    <row r="22" spans="2:10" x14ac:dyDescent="0.2">
      <c r="B22" s="2" t="str">
        <f ca="1">OFFSET('Data kuukausina'!$A$9,204,0)</f>
        <v>17 vuosi</v>
      </c>
      <c r="C22" s="15">
        <f ca="1">OFFSET('Data kuukausina'!$C$9,204,0)</f>
        <v>91191.441215716026</v>
      </c>
      <c r="D22" s="20">
        <f ca="1">OFFSET('Data kuukausina'!$G$9,204,0)</f>
        <v>7121.6659029395632</v>
      </c>
      <c r="E22" s="20">
        <f ca="1">OFFSET('Data kuukausina'!$L$9,204,0)</f>
        <v>7121.6659029395632</v>
      </c>
      <c r="F22" s="20">
        <f ca="1">OFFSET('Data kuukausina'!$M$9,204,0)</f>
        <v>64878.334097060433</v>
      </c>
      <c r="G22" s="20">
        <f ca="1">OFFSET('Data kuukausina'!$P$9,204,0)</f>
        <v>6414.5821695582872</v>
      </c>
      <c r="H22" s="20">
        <f ca="1">OFFSET('Data kuukausina'!$Q$9,204,0)</f>
        <v>34.585656527947634</v>
      </c>
      <c r="I22" s="20">
        <f ca="1">OFFSET('Data kuukausina'!$W$9,204,0)</f>
        <v>9959.6119636728836</v>
      </c>
      <c r="J22" s="20">
        <f ca="1">OFFSET('Data kuukausina'!$V$9,204,0)</f>
        <v>149195.40661780245</v>
      </c>
    </row>
    <row r="23" spans="2:10" x14ac:dyDescent="0.2">
      <c r="B23" s="2" t="str">
        <f ca="1">OFFSET('Data kuukausina'!$A$9,216,0)</f>
        <v>18 vuosi</v>
      </c>
      <c r="C23" s="15">
        <f ca="1">OFFSET('Data kuukausina'!$C$9,216,0)</f>
        <v>92103.355627873185</v>
      </c>
      <c r="D23" s="20">
        <f ca="1">OFFSET('Data kuukausina'!$G$9,216,0)</f>
        <v>4726.5667122639652</v>
      </c>
      <c r="E23" s="20">
        <f ca="1">OFFSET('Data kuukausina'!$L$9,216,0)</f>
        <v>4726.5667122639652</v>
      </c>
      <c r="F23" s="20">
        <f ca="1">OFFSET('Data kuukausina'!$M$9,216,0)</f>
        <v>67273.433287736028</v>
      </c>
      <c r="G23" s="20">
        <f ca="1">OFFSET('Data kuukausina'!$P$9,216,0)</f>
        <v>6790.0699063129196</v>
      </c>
      <c r="H23" s="20">
        <f ca="1">OFFSET('Data kuukausina'!$Q$9,216,0)</f>
        <v>36.620106911944561</v>
      </c>
      <c r="I23" s="20">
        <f ca="1">OFFSET('Data kuukausina'!$W$9,216,0)</f>
        <v>10763.351506258856</v>
      </c>
      <c r="J23" s="20">
        <f ca="1">OFFSET('Data kuukausina'!$V$9,216,0)</f>
        <v>165877.29335613453</v>
      </c>
    </row>
    <row r="24" spans="2:10" x14ac:dyDescent="0.2">
      <c r="B24" s="2" t="str">
        <f ca="1">OFFSET('Data kuukausina'!$A$9,228,0)</f>
        <v>19 vuosi</v>
      </c>
      <c r="C24" s="15">
        <f ca="1">OFFSET('Data kuukausina'!$C$9,228,0)</f>
        <v>93024.389184151922</v>
      </c>
      <c r="D24" s="20">
        <f ca="1">OFFSET('Data kuukausina'!$G$9,228,0)</f>
        <v>2283.123987631297</v>
      </c>
      <c r="E24" s="20">
        <f ca="1">OFFSET('Data kuukausina'!$L$9,228,0)</f>
        <v>2283.123987631297</v>
      </c>
      <c r="F24" s="20">
        <f ca="1">OFFSET('Data kuukausina'!$M$9,228,0)</f>
        <v>69716.87601236871</v>
      </c>
      <c r="G24" s="20">
        <f ca="1">OFFSET('Data kuukausina'!$P$9,228,0)</f>
        <v>7165.5576430675519</v>
      </c>
      <c r="H24" s="20">
        <f ca="1">OFFSET('Data kuukausina'!$Q$9,228,0)</f>
        <v>38.654557295941487</v>
      </c>
      <c r="I24" s="20">
        <f ca="1">OFFSET('Data kuukausina'!$W$9,228,0)</f>
        <v>11591.504453452791</v>
      </c>
      <c r="J24" s="20">
        <f ca="1">OFFSET('Data kuukausina'!$V$9,228,0)</f>
        <v>184185.6601555011</v>
      </c>
    </row>
    <row r="25" spans="2:10" x14ac:dyDescent="0.2">
      <c r="B25" s="2" t="str">
        <f ca="1">OFFSET('Data kuukausina'!$A$9,240,0)</f>
        <v>20 vuosi</v>
      </c>
      <c r="C25" s="15">
        <f ca="1">OFFSET('Data kuukausina'!$C$9,240,0)</f>
        <v>93954.633075993435</v>
      </c>
      <c r="D25" s="20">
        <f ca="1">OFFSET('Data kuukausina'!$G$9,240,0)</f>
        <v>-209.63805404273404</v>
      </c>
      <c r="E25" s="20">
        <f ca="1">OFFSET('Data kuukausina'!$L$9,240,0)</f>
        <v>-209.63805404273404</v>
      </c>
      <c r="F25" s="20">
        <f ca="1">OFFSET('Data kuukausina'!$M$9,240,0)</f>
        <v>72209.638054042734</v>
      </c>
      <c r="G25" s="20">
        <f ca="1">OFFSET('Data kuukausina'!$P$9,240,0)</f>
        <v>7541.0453798221843</v>
      </c>
      <c r="H25" s="20">
        <f ca="1">OFFSET('Data kuukausina'!$Q$9,240,0)</f>
        <v>40.689007679938406</v>
      </c>
      <c r="I25" s="20">
        <f ca="1">OFFSET('Data kuukausina'!$W$9,240,0)</f>
        <v>12444.070805254691</v>
      </c>
      <c r="J25" s="20">
        <f ca="1">OFFSET('Data kuukausina'!$V$9,240,0)</f>
        <v>204282.49890574435</v>
      </c>
    </row>
    <row r="26" spans="2:10" hidden="1" x14ac:dyDescent="0.2">
      <c r="B26" s="2" t="s">
        <v>56</v>
      </c>
      <c r="C26" s="15">
        <f ca="1">OFFSET('Data kuukausina'!$C$9,252,0)</f>
        <v>94894.179406753363</v>
      </c>
      <c r="D26" s="20">
        <f ca="1">OFFSET('Data kuukausina'!$G$9,252,0)</f>
        <v>-2752.7148913952592</v>
      </c>
      <c r="E26" s="20">
        <f ca="1">OFFSET('Data kuukausina'!$L$9,252,0)</f>
        <v>-2752.7148913952592</v>
      </c>
      <c r="F26" s="20">
        <f ca="1">OFFSET('Data kuukausina'!$M$9,252,0)</f>
        <v>74752.714891395255</v>
      </c>
      <c r="G26" s="20">
        <f ca="1">OFFSET('Data kuukausina'!$P$9,252,0)</f>
        <v>7916.5331165768166</v>
      </c>
      <c r="H26" s="20">
        <f ca="1">OFFSET('Data kuukausina'!$Q$9,252,0)</f>
        <v>42.723458063935333</v>
      </c>
      <c r="I26" s="20">
        <f ca="1">OFFSET('Data kuukausina'!$W$9,252,0)</f>
        <v>13321.050561664553</v>
      </c>
      <c r="J26" s="20">
        <f ca="1">OFFSET('Data kuukausina'!$V$9,252,0)</f>
        <v>226345.98929985886</v>
      </c>
    </row>
    <row r="27" spans="2:10" hidden="1" x14ac:dyDescent="0.2">
      <c r="B27" s="2" t="s">
        <v>57</v>
      </c>
      <c r="C27" s="15">
        <f ca="1">OFFSET('Data kuukausina'!$C$9,264,0)</f>
        <v>95843.121200820897</v>
      </c>
      <c r="D27" s="20">
        <f ca="1">OFFSET('Data kuukausina'!$G$9,264,0)</f>
        <v>-5347.1220961582958</v>
      </c>
      <c r="E27" s="20">
        <f ca="1">OFFSET('Data kuukausina'!$L$9,264,0)</f>
        <v>-5347.1220961582958</v>
      </c>
      <c r="F27" s="20">
        <f ca="1">OFFSET('Data kuukausina'!$M$9,264,0)</f>
        <v>77347.122096158302</v>
      </c>
      <c r="G27" s="20">
        <f ca="1">OFFSET('Data kuukausina'!$P$9,264,0)</f>
        <v>8292.0208533314453</v>
      </c>
      <c r="H27" s="20">
        <f ca="1">OFFSET('Data kuukausina'!$Q$9,264,0)</f>
        <v>44.757908447932245</v>
      </c>
      <c r="I27" s="20">
        <f ca="1">OFFSET('Data kuukausina'!$W$9,264,0)</f>
        <v>14222.443722682379</v>
      </c>
      <c r="J27" s="20">
        <f ca="1">OFFSET('Data kuukausina'!$V$9,264,0)</f>
        <v>250572.11740306579</v>
      </c>
    </row>
    <row r="28" spans="2:10" hidden="1" x14ac:dyDescent="0.2">
      <c r="B28" s="2" t="s">
        <v>58</v>
      </c>
      <c r="C28" s="15">
        <f ca="1">OFFSET('Data kuukausina'!$C$9,276,0)</f>
        <v>96801.5524128291</v>
      </c>
      <c r="D28" s="20">
        <f ca="1">OFFSET('Data kuukausina'!$G$9,276,0)</f>
        <v>-7993.8957387249184</v>
      </c>
      <c r="E28" s="20">
        <f ca="1">OFFSET('Data kuukausina'!$L$9,276,0)</f>
        <v>-7993.8957387249184</v>
      </c>
      <c r="F28" s="20">
        <f ca="1">OFFSET('Data kuukausina'!$M$9,276,0)</f>
        <v>79993.895738724925</v>
      </c>
      <c r="G28" s="20">
        <f ca="1">OFFSET('Data kuukausina'!$P$9,276,0)</f>
        <v>8667.5085900860668</v>
      </c>
      <c r="H28" s="20">
        <f ca="1">OFFSET('Data kuukausina'!$Q$9,276,0)</f>
        <v>46.792358831929107</v>
      </c>
      <c r="I28" s="20">
        <f ca="1">OFFSET('Data kuukausina'!$W$9,276,0)</f>
        <v>15148.250288308167</v>
      </c>
      <c r="J28" s="20">
        <f ca="1">OFFSET('Data kuukausina'!$V$9,276,0)</f>
        <v>277176.45607471606</v>
      </c>
    </row>
    <row r="29" spans="2:10" hidden="1" x14ac:dyDescent="0.2">
      <c r="B29" s="47" t="s">
        <v>59</v>
      </c>
      <c r="C29" s="15">
        <f ca="1">OFFSET('Data kuukausina'!$C$9,288,0)</f>
        <v>97769.567936957392</v>
      </c>
      <c r="D29" s="20">
        <f ca="1">OFFSET('Data kuukausina'!$G$9,288,0)</f>
        <v>-10694.09280190153</v>
      </c>
      <c r="E29" s="20">
        <f ca="1">OFFSET('Data kuukausina'!$L$9,288,0)</f>
        <v>-10694.09280190153</v>
      </c>
      <c r="F29" s="20">
        <f ca="1">OFFSET('Data kuukausina'!$M$9,288,0)</f>
        <v>82694.092801901526</v>
      </c>
      <c r="G29" s="20">
        <f ca="1">OFFSET('Data kuukausina'!$P$9,288,0)</f>
        <v>9042.9963268406882</v>
      </c>
      <c r="H29" s="20">
        <f ca="1">OFFSET('Data kuukausina'!$Q$9,288,0)</f>
        <v>48.826809215925977</v>
      </c>
      <c r="I29" s="20">
        <f ca="1">OFFSET('Data kuukausina'!$W$9,288,0)</f>
        <v>16098.470258541916</v>
      </c>
      <c r="J29" s="20">
        <f ca="1">OFFSET('Data kuukausina'!$V$9,288,0)</f>
        <v>306396.12342822592</v>
      </c>
    </row>
    <row r="30" spans="2:10" hidden="1" x14ac:dyDescent="0.2">
      <c r="B30" s="47" t="s">
        <v>60</v>
      </c>
      <c r="C30" s="15">
        <f ca="1">OFFSET('Data kuukausina'!$C$9,300,0)</f>
        <v>98747.263616326964</v>
      </c>
      <c r="D30" s="20">
        <f ca="1">OFFSET('Data kuukausina'!$G$9,300,0)</f>
        <v>-13448.791603011447</v>
      </c>
      <c r="E30" s="20"/>
      <c r="F30" s="20">
        <f ca="1">OFFSET('Data kuukausina'!$M$9,300,0)</f>
        <v>85448.791603011443</v>
      </c>
      <c r="G30" s="20">
        <f ca="1">OFFSET('Data kuukausina'!$P$9,300,0)</f>
        <v>9418.4840635953096</v>
      </c>
      <c r="H30" s="20">
        <f ca="1">OFFSET('Data kuukausina'!$Q$9,300,0)</f>
        <v>50.861259599922839</v>
      </c>
      <c r="I30" s="20">
        <f ca="1">OFFSET('Data kuukausina'!$W$9,300,0)</f>
        <v>17073.103633383646</v>
      </c>
      <c r="J30" s="20">
        <f ca="1">OFFSET('Data kuukausina'!$V$9,300,0)</f>
        <v>338491.93713276531</v>
      </c>
    </row>
  </sheetData>
  <mergeCells count="1">
    <mergeCell ref="C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Laskentataulukot</vt:lpstr>
      </vt:variant>
      <vt:variant>
        <vt:i4>5</vt:i4>
      </vt:variant>
      <vt:variant>
        <vt:lpstr>Nimetyt alueet</vt:lpstr>
      </vt:variant>
      <vt:variant>
        <vt:i4>8</vt:i4>
      </vt:variant>
    </vt:vector>
  </HeadingPairs>
  <TitlesOfParts>
    <vt:vector size="13" baseType="lpstr">
      <vt:lpstr>Vuokratuottolaskuri</vt:lpstr>
      <vt:lpstr>Edistynyt vuokratuottolaskuri</vt:lpstr>
      <vt:lpstr>Käyttöohjeet</vt:lpstr>
      <vt:lpstr>Data kuukausina</vt:lpstr>
      <vt:lpstr>Data vuosina</vt:lpstr>
      <vt:lpstr>kirjanpitotapa</vt:lpstr>
      <vt:lpstr>Lyhennystapa</vt:lpstr>
      <vt:lpstr>Valitse</vt:lpstr>
      <vt:lpstr>Veroaste</vt:lpstr>
      <vt:lpstr>YhlainaLyhennys</vt:lpstr>
      <vt:lpstr>YksinkPlainanLyh</vt:lpstr>
      <vt:lpstr>YksinkYhlainanKäsittely</vt:lpstr>
      <vt:lpstr>YksinkYhlainanLyh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Oskari Moisio</dc:creator>
  <cp:keywords/>
  <dc:description/>
  <cp:lastModifiedBy>Teemu Karjaluoto</cp:lastModifiedBy>
  <cp:revision/>
  <dcterms:created xsi:type="dcterms:W3CDTF">2013-11-29T19:32:14Z</dcterms:created>
  <dcterms:modified xsi:type="dcterms:W3CDTF">2024-08-14T11:00:23Z</dcterms:modified>
  <cp:category/>
  <cp:contentStatus/>
</cp:coreProperties>
</file>